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1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<sst xmlns="http://schemas.openxmlformats.org/spreadsheetml/2006/main" count="173" uniqueCount="117">
  <si>
    <t>Orbit r A.U.</t>
  </si>
  <si>
    <t>Orbit Period Years</t>
  </si>
  <si>
    <t>Orbit velocity AU/Yr</t>
  </si>
  <si>
    <t>Mean long J2000</t>
  </si>
  <si>
    <t>Mass (Kg)</t>
  </si>
  <si>
    <t>planet r (km)</t>
  </si>
  <si>
    <t>SOI (km)</t>
  </si>
  <si>
    <t>Mercury</t>
  </si>
  <si>
    <t>Venus</t>
  </si>
  <si>
    <t>Earth</t>
  </si>
  <si>
    <t>Mars</t>
  </si>
  <si>
    <t>Jupiter</t>
  </si>
  <si>
    <t>Saturn</t>
  </si>
  <si>
    <t>Uranus</t>
  </si>
  <si>
    <t>Neptune</t>
  </si>
  <si>
    <t>I'm assuming circular, coplanar orbits, therefore these orbits are approximate.</t>
  </si>
  <si>
    <t xml:space="preserve">Pluto's not included because is too tilted and eccentric for this model to be close. </t>
  </si>
  <si>
    <t>True Anomaly assumes that Earth at Sept. 21st is zero degrees.</t>
  </si>
  <si>
    <t>Frequently Used Altitudes</t>
  </si>
  <si>
    <t>TYPE PLANETS INTO BLUE BOXES BELOW</t>
  </si>
  <si>
    <t>(Distance above planet surface)</t>
  </si>
  <si>
    <t xml:space="preserve">Depart from </t>
  </si>
  <si>
    <t>dist AU</t>
  </si>
  <si>
    <t>Years</t>
  </si>
  <si>
    <t>AU/Year</t>
  </si>
  <si>
    <t>J2000</t>
  </si>
  <si>
    <t>mass (kg)</t>
  </si>
  <si>
    <t>r (km)</t>
  </si>
  <si>
    <t>Venus Sun L1</t>
  </si>
  <si>
    <t>Venus Sun L2</t>
  </si>
  <si>
    <t>Arrive at</t>
  </si>
  <si>
    <t>Earth Geosynch</t>
  </si>
  <si>
    <t>Moon, EarthMoonL4,L5</t>
  </si>
  <si>
    <t>a (A.U.)</t>
  </si>
  <si>
    <t>per (yrs)</t>
  </si>
  <si>
    <t>e</t>
  </si>
  <si>
    <t>r depart</t>
  </si>
  <si>
    <t>r arrive</t>
  </si>
  <si>
    <t>Earth Moon L1</t>
  </si>
  <si>
    <t>Hohmann</t>
  </si>
  <si>
    <t>Earth Moon L2</t>
  </si>
  <si>
    <t>Travel time</t>
  </si>
  <si>
    <t>Velocity</t>
  </si>
  <si>
    <t>Earth Sun L1</t>
  </si>
  <si>
    <t>Angle destination planet moves</t>
  </si>
  <si>
    <t>AU/year</t>
  </si>
  <si>
    <t>Earth Sun L2</t>
  </si>
  <si>
    <t>in that time</t>
  </si>
  <si>
    <t>degrees</t>
  </si>
  <si>
    <t>D velocity</t>
  </si>
  <si>
    <t>Mars Phobos</t>
  </si>
  <si>
    <t>Angle between departure and dest planet at</t>
  </si>
  <si>
    <t>Mars synchronous orbit</t>
  </si>
  <si>
    <t>launch window</t>
  </si>
  <si>
    <t>Mars Deimos</t>
  </si>
  <si>
    <t>Angular Velocity departure</t>
  </si>
  <si>
    <t>semi-minor</t>
  </si>
  <si>
    <t>Mars Sun L1</t>
  </si>
  <si>
    <t>Planet</t>
  </si>
  <si>
    <t>degrees/year</t>
  </si>
  <si>
    <t>axis</t>
  </si>
  <si>
    <t>Mars Sun L2</t>
  </si>
  <si>
    <t>Angular Velocity destination</t>
  </si>
  <si>
    <t>Jupiter Europa</t>
  </si>
  <si>
    <t>specific ang</t>
  </si>
  <si>
    <t>Jupiter Ganymede</t>
  </si>
  <si>
    <t>Wdestination-</t>
  </si>
  <si>
    <t>momentum</t>
  </si>
  <si>
    <t>AU^2/year</t>
  </si>
  <si>
    <t>Jupiter Callisto</t>
  </si>
  <si>
    <t>Wdeparture</t>
  </si>
  <si>
    <t>G kg secs &amp; km</t>
  </si>
  <si>
    <t>Jupiter Sun L1</t>
  </si>
  <si>
    <t>Angle difference between planets</t>
  </si>
  <si>
    <t>AU/Year to km/sec</t>
  </si>
  <si>
    <t>Jupiter Sun L2</t>
  </si>
  <si>
    <t>Saturn Mimas</t>
  </si>
  <si>
    <t>Synodic</t>
  </si>
  <si>
    <t>Departure Vinf</t>
  </si>
  <si>
    <t>km/sec</t>
  </si>
  <si>
    <t>Saturn Enceladus</t>
  </si>
  <si>
    <t>Period</t>
  </si>
  <si>
    <t>Arrival Vinf</t>
  </si>
  <si>
    <t>Saturn Tethys</t>
  </si>
  <si>
    <t>Trip Time</t>
  </si>
  <si>
    <t>Total DV</t>
  </si>
  <si>
    <t>Saturn Dione</t>
  </si>
  <si>
    <t>surface escape velocity</t>
  </si>
  <si>
    <t>Saturn Rhea</t>
  </si>
  <si>
    <t>Saturn Titan</t>
  </si>
  <si>
    <t>Periapsis altitude</t>
  </si>
  <si>
    <t>km up</t>
  </si>
  <si>
    <t>Sphere of influence (km):</t>
  </si>
  <si>
    <t>Circle V at apoapsis</t>
  </si>
  <si>
    <t>Parking orbit period</t>
  </si>
  <si>
    <t>Apoapsis altitude</t>
  </si>
  <si>
    <t>Ellipse V at apoapsis</t>
  </si>
  <si>
    <t>Seconds</t>
  </si>
  <si>
    <t>Circle orbit Velocity at periapsis</t>
  </si>
  <si>
    <t>Apoapsis circulize burn</t>
  </si>
  <si>
    <t>Hours</t>
  </si>
  <si>
    <t>Escape Velocity at periapsis</t>
  </si>
  <si>
    <t>Periapsis circulize burn</t>
  </si>
  <si>
    <t>Days</t>
  </si>
  <si>
    <t>Hyperbolic periapsis velocity</t>
  </si>
  <si>
    <t>Hyperbola e</t>
  </si>
  <si>
    <t>Ellipse periapsis velocity</t>
  </si>
  <si>
    <t>turning angle</t>
  </si>
  <si>
    <t>radians</t>
  </si>
  <si>
    <t>Insertion burn from periapsis</t>
  </si>
  <si>
    <t>Sphere of Influence (km):</t>
  </si>
  <si>
    <t>Total Burn</t>
  </si>
  <si>
    <t>Leave</t>
  </si>
  <si>
    <t>Month Day</t>
  </si>
  <si>
    <t>Year</t>
  </si>
  <si>
    <t>L (degrees)</t>
  </si>
  <si>
    <t>Arrive</t>
  </si>
</sst>
</file>

<file path=xl/styles.xml><?xml version="1.0" encoding="utf-8"?>
<styleSheet xmlns="http://schemas.openxmlformats.org/spreadsheetml/2006/main">
  <numFmts count="9">
    <numFmt numFmtId="164" formatCode="0.0000"/>
    <numFmt numFmtId="165" formatCode="0.000"/>
    <numFmt numFmtId="166" formatCode="GENERAL"/>
    <numFmt numFmtId="167" formatCode="0"/>
    <numFmt numFmtId="168" formatCode="0.00"/>
    <numFmt numFmtId="169" formatCode="GENERAL"/>
    <numFmt numFmtId="170" formatCode="0.0000000000"/>
    <numFmt numFmtId="171" formatCode="0.000000000"/>
    <numFmt numFmtId="172" formatCode="M/D"/>
  </numFmts>
  <fonts count="4">
    <font>
      <sz val="10"/>
      <name val="Verdana"/>
      <family val="2"/>
    </font>
    <font>
      <sz val="10"/>
      <name val="Arial"/>
      <family val="0"/>
    </font>
    <font>
      <b/>
      <sz val="10"/>
      <name val="Verdana"/>
      <family val="2"/>
    </font>
    <font>
      <sz val="10"/>
      <color indexed="8"/>
      <name val="Verdana"/>
      <family val="2"/>
    </font>
  </fonts>
  <fills count="8">
    <fill>
      <patternFill/>
    </fill>
    <fill>
      <patternFill patternType="gray125"/>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double">
        <color indexed="8"/>
      </right>
      <top style="thin">
        <color indexed="8"/>
      </top>
      <bottom>
        <color indexed="63"/>
      </bottom>
    </border>
    <border>
      <left style="thin">
        <color indexed="8"/>
      </left>
      <right style="thin">
        <color indexed="8"/>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thin">
        <color indexed="8"/>
      </left>
      <right style="thin">
        <color indexed="8"/>
      </right>
      <top style="double">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9">
    <xf numFmtId="164" fontId="0" fillId="0" borderId="0" xfId="0" applyAlignment="1">
      <alignment/>
    </xf>
    <xf numFmtId="164" fontId="0" fillId="0" borderId="0" xfId="0" applyFont="1" applyAlignment="1">
      <alignment horizontal="center"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7" fontId="0" fillId="0" borderId="0" xfId="0" applyNumberFormat="1" applyAlignment="1">
      <alignment horizontal="center"/>
    </xf>
    <xf numFmtId="164" fontId="0" fillId="0" borderId="0" xfId="0" applyAlignment="1">
      <alignment horizontal="center"/>
    </xf>
    <xf numFmtId="164" fontId="2" fillId="0" borderId="0" xfId="0" applyFont="1" applyAlignment="1">
      <alignment/>
    </xf>
    <xf numFmtId="164" fontId="0" fillId="0" borderId="0" xfId="0" applyFont="1" applyAlignment="1">
      <alignment horizontal="right"/>
    </xf>
    <xf numFmtId="164" fontId="0" fillId="0" borderId="1" xfId="0" applyFont="1" applyFill="1" applyBorder="1" applyAlignment="1">
      <alignment/>
    </xf>
    <xf numFmtId="168" fontId="0" fillId="0" borderId="2" xfId="0" applyNumberFormat="1" applyBorder="1" applyAlignment="1">
      <alignment/>
    </xf>
    <xf numFmtId="164" fontId="0" fillId="2" borderId="3" xfId="0" applyFont="1" applyFill="1" applyBorder="1" applyAlignment="1" applyProtection="1">
      <alignment/>
      <protection locked="0"/>
    </xf>
    <xf numFmtId="166" fontId="0" fillId="0" borderId="0" xfId="0" applyAlignment="1">
      <alignment/>
    </xf>
    <xf numFmtId="164" fontId="0" fillId="0" borderId="4" xfId="0" applyFont="1" applyFill="1" applyBorder="1" applyAlignment="1">
      <alignment/>
    </xf>
    <xf numFmtId="168" fontId="0" fillId="0" borderId="5" xfId="0" applyNumberFormat="1" applyBorder="1" applyAlignment="1">
      <alignment/>
    </xf>
    <xf numFmtId="164" fontId="0" fillId="0" borderId="1" xfId="0" applyFont="1" applyBorder="1" applyAlignment="1">
      <alignment/>
    </xf>
    <xf numFmtId="164" fontId="0" fillId="0" borderId="6" xfId="0" applyFont="1" applyBorder="1" applyAlignment="1">
      <alignment/>
    </xf>
    <xf numFmtId="168" fontId="0" fillId="0" borderId="7" xfId="0" applyNumberFormat="1" applyBorder="1" applyAlignment="1">
      <alignment/>
    </xf>
    <xf numFmtId="164" fontId="0" fillId="0" borderId="6" xfId="0" applyFont="1" applyFill="1" applyBorder="1" applyAlignment="1">
      <alignment/>
    </xf>
    <xf numFmtId="164" fontId="0" fillId="0" borderId="4" xfId="0" applyFont="1" applyBorder="1" applyAlignment="1">
      <alignment/>
    </xf>
    <xf numFmtId="168" fontId="0" fillId="0" borderId="0" xfId="0" applyNumberFormat="1" applyAlignment="1">
      <alignment/>
    </xf>
    <xf numFmtId="164" fontId="0" fillId="0" borderId="8" xfId="0" applyBorder="1" applyAlignment="1">
      <alignment/>
    </xf>
    <xf numFmtId="164" fontId="0" fillId="0" borderId="2" xfId="0" applyBorder="1" applyAlignment="1">
      <alignment/>
    </xf>
    <xf numFmtId="164" fontId="0" fillId="0" borderId="9" xfId="0" applyFont="1" applyBorder="1" applyAlignment="1">
      <alignment/>
    </xf>
    <xf numFmtId="164" fontId="0" fillId="0" borderId="10" xfId="0" applyBorder="1" applyAlignment="1">
      <alignment/>
    </xf>
    <xf numFmtId="164" fontId="0" fillId="0" borderId="11" xfId="0" applyFont="1" applyBorder="1" applyAlignment="1">
      <alignment/>
    </xf>
    <xf numFmtId="164" fontId="0" fillId="0" borderId="12" xfId="0" applyBorder="1" applyAlignment="1">
      <alignment/>
    </xf>
    <xf numFmtId="164" fontId="0" fillId="0" borderId="5" xfId="0" applyFont="1" applyBorder="1" applyAlignment="1">
      <alignment/>
    </xf>
    <xf numFmtId="164" fontId="0" fillId="0" borderId="9" xfId="0" applyFont="1" applyFill="1" applyBorder="1" applyAlignment="1">
      <alignment/>
    </xf>
    <xf numFmtId="164" fontId="0" fillId="0" borderId="6" xfId="0" applyBorder="1" applyAlignment="1">
      <alignment horizontal="center"/>
    </xf>
    <xf numFmtId="164" fontId="0" fillId="0" borderId="0" xfId="0" applyFill="1" applyBorder="1" applyAlignment="1">
      <alignment/>
    </xf>
    <xf numFmtId="164" fontId="0" fillId="0" borderId="0" xfId="0" applyBorder="1" applyAlignment="1">
      <alignment/>
    </xf>
    <xf numFmtId="164" fontId="0" fillId="0" borderId="13" xfId="0" applyBorder="1" applyAlignment="1">
      <alignment/>
    </xf>
    <xf numFmtId="164" fontId="0" fillId="0" borderId="14" xfId="0" applyFont="1" applyBorder="1" applyAlignment="1">
      <alignment/>
    </xf>
    <xf numFmtId="164" fontId="0" fillId="3" borderId="14" xfId="0" applyNumberFormat="1" applyFill="1" applyBorder="1" applyAlignment="1" applyProtection="1">
      <alignment/>
      <protection locked="0"/>
    </xf>
    <xf numFmtId="164" fontId="0" fillId="0" borderId="15" xfId="0" applyFont="1" applyBorder="1" applyAlignment="1">
      <alignment/>
    </xf>
    <xf numFmtId="164" fontId="0" fillId="0" borderId="16" xfId="0" applyFont="1" applyBorder="1" applyAlignment="1">
      <alignment horizontal="center"/>
    </xf>
    <xf numFmtId="164" fontId="0" fillId="0" borderId="16" xfId="0" applyFont="1" applyBorder="1" applyAlignment="1">
      <alignment/>
    </xf>
    <xf numFmtId="164" fontId="0" fillId="0" borderId="17" xfId="0" applyBorder="1" applyAlignment="1">
      <alignment/>
    </xf>
    <xf numFmtId="164" fontId="0" fillId="0" borderId="18" xfId="0" applyFont="1" applyFill="1" applyBorder="1" applyAlignment="1">
      <alignment/>
    </xf>
    <xf numFmtId="164" fontId="0" fillId="0" borderId="19" xfId="0" applyBorder="1" applyAlignment="1">
      <alignment/>
    </xf>
    <xf numFmtId="164" fontId="0" fillId="3" borderId="0" xfId="0" applyNumberFormat="1" applyFill="1" applyBorder="1" applyAlignment="1" applyProtection="1">
      <alignment/>
      <protection locked="0"/>
    </xf>
    <xf numFmtId="164" fontId="0" fillId="0" borderId="7" xfId="0" applyFont="1" applyBorder="1" applyAlignment="1">
      <alignment/>
    </xf>
    <xf numFmtId="167" fontId="0" fillId="0" borderId="4" xfId="0" applyNumberFormat="1" applyFont="1" applyBorder="1" applyAlignment="1">
      <alignment horizontal="center"/>
    </xf>
    <xf numFmtId="164" fontId="0" fillId="0" borderId="20" xfId="0" applyBorder="1" applyAlignment="1">
      <alignment/>
    </xf>
    <xf numFmtId="164" fontId="0" fillId="0" borderId="19" xfId="0" applyFont="1" applyBorder="1" applyAlignment="1">
      <alignment horizontal="right"/>
    </xf>
    <xf numFmtId="164" fontId="0" fillId="0" borderId="7" xfId="0" applyFill="1" applyBorder="1" applyAlignment="1">
      <alignment/>
    </xf>
    <xf numFmtId="164" fontId="0" fillId="0" borderId="19" xfId="0" applyFont="1" applyFill="1" applyBorder="1" applyAlignment="1">
      <alignment/>
    </xf>
    <xf numFmtId="164" fontId="0" fillId="4" borderId="21" xfId="0" applyFill="1" applyBorder="1" applyAlignment="1" applyProtection="1">
      <alignment horizontal="center"/>
      <protection locked="0"/>
    </xf>
    <xf numFmtId="164" fontId="0" fillId="0" borderId="22" xfId="0" applyBorder="1" applyAlignment="1">
      <alignment/>
    </xf>
    <xf numFmtId="164" fontId="0" fillId="4" borderId="23" xfId="0" applyFill="1" applyBorder="1" applyAlignment="1" applyProtection="1">
      <alignment horizontal="left"/>
      <protection locked="0"/>
    </xf>
    <xf numFmtId="164" fontId="0" fillId="0" borderId="24" xfId="0" applyFont="1" applyBorder="1" applyAlignment="1">
      <alignment horizontal="right"/>
    </xf>
    <xf numFmtId="164" fontId="0" fillId="4" borderId="6" xfId="0" applyFill="1" applyBorder="1" applyAlignment="1" applyProtection="1">
      <alignment horizontal="center"/>
      <protection locked="0"/>
    </xf>
    <xf numFmtId="164" fontId="0" fillId="4" borderId="8" xfId="0" applyFill="1" applyBorder="1" applyAlignment="1" applyProtection="1">
      <alignment/>
      <protection locked="0"/>
    </xf>
    <xf numFmtId="164" fontId="0" fillId="4" borderId="22" xfId="0" applyFill="1" applyBorder="1" applyAlignment="1" applyProtection="1">
      <alignment/>
      <protection locked="0"/>
    </xf>
    <xf numFmtId="170" fontId="0" fillId="4" borderId="0" xfId="0" applyNumberFormat="1" applyFill="1" applyBorder="1" applyAlignment="1" applyProtection="1">
      <alignment horizontal="center"/>
      <protection locked="0"/>
    </xf>
    <xf numFmtId="164" fontId="0" fillId="4" borderId="25" xfId="0" applyFill="1" applyBorder="1" applyAlignment="1" applyProtection="1">
      <alignment/>
      <protection locked="0"/>
    </xf>
    <xf numFmtId="164" fontId="0" fillId="0" borderId="26" xfId="0" applyFont="1" applyFill="1" applyBorder="1" applyAlignment="1">
      <alignment/>
    </xf>
    <xf numFmtId="164" fontId="0" fillId="0" borderId="27" xfId="0" applyBorder="1" applyAlignment="1">
      <alignment/>
    </xf>
    <xf numFmtId="164" fontId="0" fillId="0" borderId="28" xfId="0" applyFont="1" applyBorder="1" applyAlignment="1">
      <alignment/>
    </xf>
    <xf numFmtId="164" fontId="0" fillId="4" borderId="29" xfId="0" applyFill="1" applyBorder="1" applyAlignment="1" applyProtection="1">
      <alignment horizontal="center"/>
      <protection locked="0"/>
    </xf>
    <xf numFmtId="164" fontId="0" fillId="4" borderId="27" xfId="0" applyFill="1" applyBorder="1" applyAlignment="1" applyProtection="1">
      <alignment/>
      <protection locked="0"/>
    </xf>
    <xf numFmtId="164" fontId="0" fillId="4" borderId="30" xfId="0" applyFill="1" applyBorder="1" applyAlignment="1" applyProtection="1">
      <alignment/>
      <protection locked="0"/>
    </xf>
    <xf numFmtId="164" fontId="0" fillId="0" borderId="31" xfId="0" applyFont="1" applyBorder="1" applyAlignment="1">
      <alignment horizontal="center"/>
    </xf>
    <xf numFmtId="167" fontId="0" fillId="0" borderId="6" xfId="0" applyNumberFormat="1" applyBorder="1" applyAlignment="1">
      <alignment horizontal="center"/>
    </xf>
    <xf numFmtId="171" fontId="0" fillId="4" borderId="6" xfId="0" applyNumberFormat="1" applyFill="1" applyBorder="1" applyAlignment="1" applyProtection="1">
      <alignment horizontal="center"/>
      <protection locked="0"/>
    </xf>
    <xf numFmtId="164" fontId="0" fillId="4" borderId="0" xfId="0" applyFill="1" applyBorder="1" applyAlignment="1" applyProtection="1">
      <alignment horizontal="center"/>
      <protection locked="0"/>
    </xf>
    <xf numFmtId="164" fontId="0" fillId="5" borderId="4" xfId="0" applyFont="1" applyFill="1" applyBorder="1" applyAlignment="1">
      <alignment/>
    </xf>
    <xf numFmtId="164" fontId="0" fillId="5" borderId="12" xfId="0" applyFill="1" applyBorder="1" applyAlignment="1">
      <alignment/>
    </xf>
    <xf numFmtId="164" fontId="0" fillId="5" borderId="5" xfId="0" applyFont="1" applyFill="1" applyBorder="1" applyAlignment="1">
      <alignment/>
    </xf>
    <xf numFmtId="164" fontId="0" fillId="0" borderId="1" xfId="0" applyFont="1" applyBorder="1" applyAlignment="1">
      <alignment horizontal="right" wrapText="1"/>
    </xf>
    <xf numFmtId="164" fontId="0" fillId="0" borderId="8" xfId="0" applyFont="1" applyBorder="1" applyAlignment="1">
      <alignment horizontal="right" wrapText="1"/>
    </xf>
    <xf numFmtId="164" fontId="0" fillId="0" borderId="2" xfId="0" applyFont="1" applyBorder="1" applyAlignment="1">
      <alignment horizontal="right" wrapText="1"/>
    </xf>
    <xf numFmtId="164" fontId="0" fillId="0" borderId="0" xfId="0" applyAlignment="1">
      <alignment wrapText="1"/>
    </xf>
    <xf numFmtId="164" fontId="0" fillId="6" borderId="6" xfId="0" applyFill="1" applyBorder="1" applyAlignment="1">
      <alignment/>
    </xf>
    <xf numFmtId="172" fontId="0" fillId="6" borderId="0" xfId="0" applyNumberFormat="1" applyFill="1" applyBorder="1" applyAlignment="1">
      <alignment/>
    </xf>
    <xf numFmtId="167" fontId="0" fillId="6" borderId="0" xfId="0" applyNumberFormat="1" applyFill="1" applyBorder="1" applyAlignment="1">
      <alignment/>
    </xf>
    <xf numFmtId="167" fontId="0" fillId="6" borderId="7" xfId="0" applyNumberFormat="1" applyFill="1" applyBorder="1" applyAlignment="1">
      <alignment/>
    </xf>
    <xf numFmtId="172" fontId="0" fillId="0" borderId="0" xfId="0" applyNumberFormat="1" applyFill="1" applyBorder="1" applyAlignment="1">
      <alignment/>
    </xf>
    <xf numFmtId="167" fontId="0" fillId="0" borderId="0" xfId="0" applyNumberFormat="1" applyFill="1" applyBorder="1" applyAlignment="1">
      <alignment/>
    </xf>
    <xf numFmtId="167" fontId="0" fillId="0" borderId="7" xfId="0" applyNumberFormat="1" applyFill="1" applyBorder="1" applyAlignment="1">
      <alignment/>
    </xf>
    <xf numFmtId="164" fontId="0" fillId="0" borderId="0" xfId="0" applyAlignment="1" applyProtection="1">
      <alignment/>
      <protection locked="0"/>
    </xf>
    <xf numFmtId="167" fontId="0" fillId="7" borderId="7" xfId="0" applyNumberFormat="1" applyFill="1" applyBorder="1" applyAlignment="1">
      <alignment/>
    </xf>
    <xf numFmtId="164" fontId="0" fillId="6" borderId="4" xfId="0" applyFill="1" applyBorder="1" applyAlignment="1">
      <alignment/>
    </xf>
    <xf numFmtId="172" fontId="0" fillId="6" borderId="12" xfId="0" applyNumberFormat="1" applyFill="1" applyBorder="1" applyAlignment="1">
      <alignment/>
    </xf>
    <xf numFmtId="167" fontId="0" fillId="6" borderId="12" xfId="0" applyNumberFormat="1" applyFill="1" applyBorder="1" applyAlignment="1">
      <alignment/>
    </xf>
    <xf numFmtId="167" fontId="0" fillId="6" borderId="5" xfId="0" applyNumberFormat="1" applyFill="1" applyBorder="1" applyAlignment="1">
      <alignment/>
    </xf>
    <xf numFmtId="172" fontId="0" fillId="0" borderId="12" xfId="0" applyNumberFormat="1" applyFill="1" applyBorder="1" applyAlignment="1">
      <alignment/>
    </xf>
    <xf numFmtId="167" fontId="0" fillId="0" borderId="12"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123825</xdr:rowOff>
    </xdr:from>
    <xdr:to>
      <xdr:col>1</xdr:col>
      <xdr:colOff>581025</xdr:colOff>
      <xdr:row>51</xdr:row>
      <xdr:rowOff>133350</xdr:rowOff>
    </xdr:to>
    <xdr:sp>
      <xdr:nvSpPr>
        <xdr:cNvPr id="1" name="Rectangle 1"/>
        <xdr:cNvSpPr>
          <a:spLocks/>
        </xdr:cNvSpPr>
      </xdr:nvSpPr>
      <xdr:spPr>
        <a:xfrm>
          <a:off x="19050" y="5953125"/>
          <a:ext cx="1400175" cy="2438400"/>
        </a:xfrm>
        <a:prstGeom prst="rect">
          <a:avLst/>
        </a:prstGeom>
        <a:solidFill>
          <a:srgbClr val="FFFFFF"/>
        </a:solidFill>
        <a:ln w="9360" cmpd="sng">
          <a:solidFill>
            <a:srgbClr val="000000"/>
          </a:solidFill>
          <a:headEnd type="none"/>
          <a:tailEnd type="none"/>
        </a:ln>
      </xdr:spPr>
      <xdr:txBody>
        <a:bodyPr vertOverflow="clip" wrap="square" lIns="27360" tIns="18000" rIns="27360" bIns="0"/>
        <a:p>
          <a:pPr algn="ctr">
            <a:defRPr/>
          </a:pPr>
          <a:r>
            <a:rPr lang="en-US" cap="none" sz="1000" b="0" i="0" u="none" baseline="0">
              <a:solidFill>
                <a:srgbClr val="000000"/>
              </a:solidFill>
              <a:latin typeface="Verdana"/>
              <a:ea typeface="Verdana"/>
              <a:cs typeface="Verdana"/>
            </a:rPr>
            <a:t>Type parking orbit peri &amp; apoapsis in pink boxes.
These are altitudes above planet's surface, not distance from center.
For capture,  apoapsis should be in planet's Sphere of Influence (SOI)
DV is saved if insertion burn is done low in planet's gravity well. </a:t>
          </a:r>
        </a:p>
      </xdr:txBody>
    </xdr:sp>
    <xdr:clientData/>
  </xdr:twoCellAnchor>
  <xdr:twoCellAnchor>
    <xdr:from>
      <xdr:col>7</xdr:col>
      <xdr:colOff>1295400</xdr:colOff>
      <xdr:row>0</xdr:row>
      <xdr:rowOff>0</xdr:rowOff>
    </xdr:from>
    <xdr:to>
      <xdr:col>9</xdr:col>
      <xdr:colOff>1028700</xdr:colOff>
      <xdr:row>10</xdr:row>
      <xdr:rowOff>95250</xdr:rowOff>
    </xdr:to>
    <xdr:sp>
      <xdr:nvSpPr>
        <xdr:cNvPr id="2" name="Rectangle 2"/>
        <xdr:cNvSpPr>
          <a:spLocks/>
        </xdr:cNvSpPr>
      </xdr:nvSpPr>
      <xdr:spPr>
        <a:xfrm>
          <a:off x="6267450" y="0"/>
          <a:ext cx="2886075" cy="1714500"/>
        </a:xfrm>
        <a:prstGeom prst="rect">
          <a:avLst/>
        </a:prstGeom>
        <a:solidFill>
          <a:srgbClr val="FFFFFF"/>
        </a:solidFill>
        <a:ln w="9360" cmpd="sng">
          <a:solidFill>
            <a:srgbClr val="000000"/>
          </a:solidFill>
          <a:headEnd type="none"/>
          <a:tailEnd type="none"/>
        </a:ln>
      </xdr:spPr>
      <xdr:txBody>
        <a:bodyPr vertOverflow="clip" wrap="square" lIns="27360" tIns="18000" rIns="27360" bIns="0"/>
        <a:p>
          <a:pPr algn="ctr">
            <a:defRPr/>
          </a:pPr>
          <a:r>
            <a:rPr lang="en-US" cap="none" sz="1000" b="0" i="0" u="none" baseline="0">
              <a:solidFill>
                <a:srgbClr val="000000"/>
              </a:solidFill>
              <a:latin typeface="Verdana"/>
              <a:ea typeface="Verdana"/>
              <a:cs typeface="Verdana"/>
            </a:rPr>
            <a:t>Spreadsheet by Hop David
www.clowder.net/hop/index.html
P. O. Box 39, Ajo, AZ 85321
520-387-7688  hopd@cunews.info
Hohmann.xls may be downloaded from:
www.clowder.net/hop/railroad/sched.html
Feel free to copy and distribute this spreadsheet. But please leave
this attribution box
Any questions, corrections or suggestions?
Please don't hesitate to contact 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01"/>
  <sheetViews>
    <sheetView tabSelected="1" workbookViewId="0" topLeftCell="A23">
      <selection activeCell="F39" sqref="F39"/>
    </sheetView>
  </sheetViews>
  <sheetFormatPr defaultColWidth="11.00390625" defaultRowHeight="12.75"/>
  <cols>
    <col min="2" max="3" width="7.75390625" style="0" customWidth="1"/>
    <col min="4" max="4" width="8.75390625" style="0" customWidth="1"/>
    <col min="5" max="5" width="9.625" style="0" customWidth="1"/>
    <col min="6" max="6" width="11.625" style="0" customWidth="1"/>
    <col min="7" max="7" width="8.75390625" style="0" customWidth="1"/>
    <col min="8" max="8" width="22.625" style="0" customWidth="1"/>
    <col min="9" max="9" width="18.75390625" style="0" customWidth="1"/>
    <col min="10" max="10" width="13.625" style="0" customWidth="1"/>
  </cols>
  <sheetData>
    <row r="1" spans="2:8" ht="12.75">
      <c r="B1" s="1" t="s">
        <v>0</v>
      </c>
      <c r="C1" s="1" t="s">
        <v>1</v>
      </c>
      <c r="D1" s="1" t="s">
        <v>2</v>
      </c>
      <c r="E1" s="1" t="s">
        <v>3</v>
      </c>
      <c r="F1" s="1" t="s">
        <v>4</v>
      </c>
      <c r="G1" s="1" t="s">
        <v>5</v>
      </c>
      <c r="H1" s="1" t="s">
        <v>6</v>
      </c>
    </row>
    <row r="2" spans="1:8" ht="12.75">
      <c r="A2" t="s">
        <v>7</v>
      </c>
      <c r="B2" s="2">
        <v>0.38709893</v>
      </c>
      <c r="C2" s="2">
        <f>B2^(3/2)</f>
        <v>0.24084240553804778</v>
      </c>
      <c r="D2" s="2">
        <f>2*PI()*B2/C2</f>
        <v>10.098779340653541</v>
      </c>
      <c r="E2" s="2">
        <v>252.25084</v>
      </c>
      <c r="F2" s="3">
        <f>3.3*10^23</f>
        <v>3.2999999999999996E+23</v>
      </c>
      <c r="G2" s="4">
        <f>4880/2</f>
        <v>2440</v>
      </c>
      <c r="H2" s="5">
        <f>(F2/(1.989*10^30))^(2/5)*B2*148598000</f>
        <v>111631.45819976373</v>
      </c>
    </row>
    <row r="3" spans="1:8" ht="12.75">
      <c r="A3" t="s">
        <v>8</v>
      </c>
      <c r="B3" s="2">
        <v>0.72333199</v>
      </c>
      <c r="C3" s="2">
        <f aca="true" t="shared" si="0" ref="C3:C9">B3^(3/2)</f>
        <v>0.6151860925770146</v>
      </c>
      <c r="D3" s="2">
        <f aca="true" t="shared" si="1" ref="D3:D9">2*PI()*B3/C3</f>
        <v>7.3877302927032735</v>
      </c>
      <c r="E3" s="2">
        <v>181.97973</v>
      </c>
      <c r="F3" s="3">
        <f>4.869*10^24</f>
        <v>4.869E+24</v>
      </c>
      <c r="G3" s="4">
        <f>12103.6/2</f>
        <v>6051.8</v>
      </c>
      <c r="H3" s="5">
        <f aca="true" t="shared" si="2" ref="H3:H9">(F3/(1.989*10^30))^(2/5)*B3*148598000</f>
        <v>612170.8325477748</v>
      </c>
    </row>
    <row r="4" spans="1:8" ht="12.75">
      <c r="A4" t="s">
        <v>9</v>
      </c>
      <c r="B4" s="2">
        <v>1.00000011</v>
      </c>
      <c r="C4" s="2">
        <f t="shared" si="0"/>
        <v>1.0000001650000045</v>
      </c>
      <c r="D4" s="2">
        <f t="shared" si="1"/>
        <v>6.283184961604423</v>
      </c>
      <c r="E4" s="2">
        <v>100.46435</v>
      </c>
      <c r="F4" s="3">
        <f>5.972*10^24</f>
        <v>5.972E+24</v>
      </c>
      <c r="G4" s="4">
        <f>12756.3/2</f>
        <v>6378.15</v>
      </c>
      <c r="H4" s="5">
        <f t="shared" si="2"/>
        <v>918347.4372439482</v>
      </c>
    </row>
    <row r="5" spans="1:8" ht="12.75">
      <c r="A5" t="s">
        <v>10</v>
      </c>
      <c r="B5" s="2">
        <v>1.52366231</v>
      </c>
      <c r="C5" s="2">
        <f t="shared" si="0"/>
        <v>1.8807587333996538</v>
      </c>
      <c r="D5" s="2">
        <f t="shared" si="1"/>
        <v>5.0902077280217455</v>
      </c>
      <c r="E5" s="2">
        <v>355.45332</v>
      </c>
      <c r="F5" s="3">
        <f>6.4219*10^23</f>
        <v>6.4219E+23</v>
      </c>
      <c r="G5" s="4">
        <f>6794/2</f>
        <v>3397</v>
      </c>
      <c r="H5" s="5">
        <f t="shared" si="2"/>
        <v>573473.284870065</v>
      </c>
    </row>
    <row r="6" spans="1:8" ht="12.75">
      <c r="A6" t="s">
        <v>11</v>
      </c>
      <c r="B6" s="2">
        <v>5.20336301</v>
      </c>
      <c r="C6" s="2">
        <f t="shared" si="0"/>
        <v>11.869329544783934</v>
      </c>
      <c r="D6" s="2">
        <f t="shared" si="1"/>
        <v>2.7544684717867014</v>
      </c>
      <c r="E6" s="2">
        <v>34.40438</v>
      </c>
      <c r="F6" s="3">
        <f>1.9*10^27</f>
        <v>1.8999999999999998E+27</v>
      </c>
      <c r="G6" s="4">
        <f>142984/2</f>
        <v>71492</v>
      </c>
      <c r="H6" s="5">
        <f t="shared" si="2"/>
        <v>47901004.04202093</v>
      </c>
    </row>
    <row r="7" spans="1:8" ht="12.75">
      <c r="A7" t="s">
        <v>12</v>
      </c>
      <c r="B7" s="2">
        <v>9.53707032</v>
      </c>
      <c r="C7" s="2">
        <f t="shared" si="0"/>
        <v>29.452521199859326</v>
      </c>
      <c r="D7" s="2">
        <f t="shared" si="1"/>
        <v>2.0345687794105967</v>
      </c>
      <c r="E7" s="2">
        <v>49.94432</v>
      </c>
      <c r="F7" s="3">
        <f>5.68*10^26</f>
        <v>5.68E+26</v>
      </c>
      <c r="G7" s="4">
        <f>120536/2</f>
        <v>60268</v>
      </c>
      <c r="H7" s="5">
        <f t="shared" si="2"/>
        <v>54164329.34161616</v>
      </c>
    </row>
    <row r="8" spans="1:8" ht="12.75">
      <c r="A8" t="s">
        <v>13</v>
      </c>
      <c r="B8" s="2">
        <v>19.19126393</v>
      </c>
      <c r="C8" s="2">
        <f t="shared" si="0"/>
        <v>84.07277205355258</v>
      </c>
      <c r="D8" s="2">
        <f t="shared" si="1"/>
        <v>1.4342606364207096</v>
      </c>
      <c r="E8" s="2">
        <v>313.23218</v>
      </c>
      <c r="F8" s="3">
        <f>8.683*10^25</f>
        <v>8.683E+25</v>
      </c>
      <c r="G8" s="4">
        <f>51118/2</f>
        <v>25559</v>
      </c>
      <c r="H8" s="5">
        <f t="shared" si="2"/>
        <v>51419819.708532386</v>
      </c>
    </row>
    <row r="9" spans="1:8" ht="12.75">
      <c r="A9" t="s">
        <v>14</v>
      </c>
      <c r="B9" s="2">
        <v>30.06896348</v>
      </c>
      <c r="C9" s="2">
        <f t="shared" si="0"/>
        <v>164.88368554993335</v>
      </c>
      <c r="D9" s="2">
        <f t="shared" si="1"/>
        <v>1.145831189480783</v>
      </c>
      <c r="E9" s="2">
        <v>304.8803</v>
      </c>
      <c r="F9" s="3">
        <f>1.0247*10^26</f>
        <v>1.0247E+26</v>
      </c>
      <c r="G9" s="4">
        <f>49532/2</f>
        <v>24766</v>
      </c>
      <c r="H9" s="5">
        <f t="shared" si="2"/>
        <v>86082763.98621842</v>
      </c>
    </row>
    <row r="10" spans="1:8" ht="12.75">
      <c r="A10" t="s">
        <v>15</v>
      </c>
      <c r="H10" s="6"/>
    </row>
    <row r="11" spans="1:8" ht="12.75">
      <c r="A11" t="s">
        <v>16</v>
      </c>
      <c r="H11" s="6"/>
    </row>
    <row r="12" spans="1:9" ht="12.75">
      <c r="A12" t="s">
        <v>17</v>
      </c>
      <c r="H12" s="6"/>
      <c r="I12" s="7" t="s">
        <v>18</v>
      </c>
    </row>
    <row r="13" spans="1:9" ht="12.75">
      <c r="A13" s="7" t="s">
        <v>19</v>
      </c>
      <c r="H13" s="6"/>
      <c r="I13" s="7" t="s">
        <v>20</v>
      </c>
    </row>
    <row r="14" spans="1:10" ht="12.75">
      <c r="A14" t="s">
        <v>21</v>
      </c>
      <c r="B14" s="8" t="s">
        <v>22</v>
      </c>
      <c r="C14" s="8" t="s">
        <v>23</v>
      </c>
      <c r="D14" s="8" t="s">
        <v>24</v>
      </c>
      <c r="E14" s="8" t="s">
        <v>25</v>
      </c>
      <c r="F14" s="8" t="s">
        <v>26</v>
      </c>
      <c r="G14" s="8" t="s">
        <v>27</v>
      </c>
      <c r="H14" s="6" t="s">
        <v>6</v>
      </c>
      <c r="I14" s="9" t="s">
        <v>28</v>
      </c>
      <c r="J14" s="10">
        <f>1007520-6052</f>
        <v>1001468</v>
      </c>
    </row>
    <row r="15" spans="1:10" ht="12.75">
      <c r="A15" s="11" t="s">
        <v>11</v>
      </c>
      <c r="B15" s="12">
        <f aca="true" t="shared" si="3" ref="B15:H15">IF($A15="Mercury",B2,IF($A15="Venus",B3,IF($A15="Earth",B4,IF($A15="Mars",B5,IF($A15="Jupiter",B6,IF($A15="Saturn",B7,IF($A15="Uranus",B8,IF($A15="Neptune",B9))))))))</f>
        <v>5.20336301</v>
      </c>
      <c r="C15" s="12">
        <f t="shared" si="3"/>
        <v>11.869329544783934</v>
      </c>
      <c r="D15" s="12">
        <f t="shared" si="3"/>
        <v>2.7544684717867014</v>
      </c>
      <c r="E15" s="12">
        <f t="shared" si="3"/>
        <v>34.40438</v>
      </c>
      <c r="F15" s="3">
        <f t="shared" si="3"/>
        <v>1.8999999999999998E+27</v>
      </c>
      <c r="G15" s="4">
        <f t="shared" si="3"/>
        <v>71492</v>
      </c>
      <c r="H15" s="5">
        <f t="shared" si="3"/>
        <v>47901004.04202093</v>
      </c>
      <c r="I15" s="13" t="s">
        <v>29</v>
      </c>
      <c r="J15" s="14">
        <f>1013876-6052</f>
        <v>1007824</v>
      </c>
    </row>
    <row r="16" spans="1:10" ht="12.75">
      <c r="A16" t="s">
        <v>30</v>
      </c>
      <c r="H16" s="6"/>
      <c r="I16" s="15" t="s">
        <v>31</v>
      </c>
      <c r="J16" s="10">
        <f>35786</f>
        <v>35786</v>
      </c>
    </row>
    <row r="17" spans="1:10" ht="12.75">
      <c r="A17" s="11" t="s">
        <v>12</v>
      </c>
      <c r="B17" s="12">
        <f aca="true" t="shared" si="4" ref="B17:H17">IF($A17="Mercury",B2,IF($A17="Venus",B3,IF($A17="Earth",B4,IF($A17="Mars",B5,IF($A17="Jupiter",B6,IF($A17="Saturn",B7,IF($A17="Uranus",B8,IF($A17="Neptune",B9))))))))</f>
        <v>9.53707032</v>
      </c>
      <c r="C17" s="12">
        <f t="shared" si="4"/>
        <v>29.452521199859326</v>
      </c>
      <c r="D17" s="12">
        <f t="shared" si="4"/>
        <v>2.0345687794105967</v>
      </c>
      <c r="E17" s="12">
        <f t="shared" si="4"/>
        <v>49.94432</v>
      </c>
      <c r="F17" s="3">
        <f t="shared" si="4"/>
        <v>5.68E+26</v>
      </c>
      <c r="G17" s="4">
        <f t="shared" si="4"/>
        <v>60268</v>
      </c>
      <c r="H17" s="5">
        <f t="shared" si="4"/>
        <v>54164329.34161616</v>
      </c>
      <c r="I17" s="16" t="s">
        <v>32</v>
      </c>
      <c r="J17" s="17">
        <f>384400-6378</f>
        <v>378022</v>
      </c>
    </row>
    <row r="18" spans="1:10" ht="12.75">
      <c r="A18" s="8"/>
      <c r="B18" s="8" t="s">
        <v>33</v>
      </c>
      <c r="C18" s="8" t="s">
        <v>34</v>
      </c>
      <c r="D18" s="8" t="s">
        <v>35</v>
      </c>
      <c r="E18" s="8"/>
      <c r="F18" s="8" t="s">
        <v>36</v>
      </c>
      <c r="G18" s="8" t="s">
        <v>37</v>
      </c>
      <c r="I18" s="18" t="s">
        <v>38</v>
      </c>
      <c r="J18" s="17">
        <f>326729.75-6378</f>
        <v>320351.75</v>
      </c>
    </row>
    <row r="19" spans="1:10" ht="12.75">
      <c r="A19" t="s">
        <v>39</v>
      </c>
      <c r="B19" s="12">
        <f>(B15+B17)/2</f>
        <v>7.370216665</v>
      </c>
      <c r="C19" s="12">
        <f>B19^(3/2)</f>
        <v>20.00876957114933</v>
      </c>
      <c r="D19" s="12">
        <f>(B19-F19)/B19</f>
        <v>0.294001350773044</v>
      </c>
      <c r="F19" s="12">
        <f>B15</f>
        <v>5.20336301</v>
      </c>
      <c r="G19" s="12">
        <f>B17</f>
        <v>9.53707032</v>
      </c>
      <c r="I19" s="18" t="s">
        <v>40</v>
      </c>
      <c r="J19" s="17">
        <f>449665-6378</f>
        <v>443287</v>
      </c>
    </row>
    <row r="20" spans="1:10" ht="12.75">
      <c r="A20" t="s">
        <v>41</v>
      </c>
      <c r="B20" s="12">
        <f>C19/2</f>
        <v>10.004384785574665</v>
      </c>
      <c r="C20" t="s">
        <v>23</v>
      </c>
      <c r="E20" t="s">
        <v>42</v>
      </c>
      <c r="F20" s="12">
        <f>F29/F19</f>
        <v>3.133323028313579</v>
      </c>
      <c r="G20" s="12">
        <f>F29/G19</f>
        <v>1.709520491813681</v>
      </c>
      <c r="I20" s="16" t="s">
        <v>43</v>
      </c>
      <c r="J20" s="17">
        <v>1484962</v>
      </c>
    </row>
    <row r="21" spans="1:10" ht="12.75">
      <c r="A21" t="s">
        <v>44</v>
      </c>
      <c r="F21" t="s">
        <v>45</v>
      </c>
      <c r="G21" t="s">
        <v>45</v>
      </c>
      <c r="I21" s="19" t="s">
        <v>46</v>
      </c>
      <c r="J21" s="14">
        <v>1495045</v>
      </c>
    </row>
    <row r="22" spans="1:10" ht="12.75">
      <c r="A22" t="s">
        <v>47</v>
      </c>
      <c r="B22" s="20">
        <f>B20/C17*360</f>
        <v>122.28421799163603</v>
      </c>
      <c r="C22" t="s">
        <v>48</v>
      </c>
      <c r="E22" t="s">
        <v>49</v>
      </c>
      <c r="F22" s="12">
        <f>ABS(F20-D15)</f>
        <v>0.3788545565268775</v>
      </c>
      <c r="G22" s="12">
        <f>ABS(D17-G20)</f>
        <v>0.3250482875969156</v>
      </c>
      <c r="I22" s="15" t="s">
        <v>50</v>
      </c>
      <c r="J22" s="10">
        <v>5981</v>
      </c>
    </row>
    <row r="23" spans="1:10" ht="12.75">
      <c r="A23" t="s">
        <v>51</v>
      </c>
      <c r="I23" s="16" t="s">
        <v>52</v>
      </c>
      <c r="J23" s="17">
        <v>17033</v>
      </c>
    </row>
    <row r="24" spans="1:10" ht="12.75">
      <c r="A24" t="s">
        <v>53</v>
      </c>
      <c r="B24" s="20">
        <f>180-B22</f>
        <v>57.71578200836397</v>
      </c>
      <c r="C24" t="s">
        <v>48</v>
      </c>
      <c r="E24" t="s">
        <v>39</v>
      </c>
      <c r="I24" s="16" t="s">
        <v>54</v>
      </c>
      <c r="J24" s="17">
        <v>20062</v>
      </c>
    </row>
    <row r="25" spans="1:10" ht="12.75">
      <c r="A25" t="s">
        <v>55</v>
      </c>
      <c r="E25" t="s">
        <v>56</v>
      </c>
      <c r="I25" s="16" t="s">
        <v>57</v>
      </c>
      <c r="J25" s="17">
        <v>1079083</v>
      </c>
    </row>
    <row r="26" spans="1:10" ht="12.75">
      <c r="A26" t="s">
        <v>58</v>
      </c>
      <c r="B26" s="20">
        <f>360/C15</f>
        <v>30.330272543338786</v>
      </c>
      <c r="C26" t="s">
        <v>59</v>
      </c>
      <c r="E26" t="s">
        <v>60</v>
      </c>
      <c r="F26" s="12">
        <f>B19*SQRT(1-D19^2)</f>
        <v>7.044489969249503</v>
      </c>
      <c r="I26" s="19" t="s">
        <v>61</v>
      </c>
      <c r="J26" s="17">
        <v>1082543</v>
      </c>
    </row>
    <row r="27" spans="1:10" ht="12.75">
      <c r="A27" t="s">
        <v>62</v>
      </c>
      <c r="E27" t="s">
        <v>39</v>
      </c>
      <c r="I27" s="15" t="s">
        <v>63</v>
      </c>
      <c r="J27" s="10">
        <v>599408</v>
      </c>
    </row>
    <row r="28" spans="1:10" ht="12.75">
      <c r="A28" t="s">
        <v>58</v>
      </c>
      <c r="B28" s="20">
        <f>360/C17</f>
        <v>12.223062248461074</v>
      </c>
      <c r="C28" t="s">
        <v>59</v>
      </c>
      <c r="E28" t="s">
        <v>64</v>
      </c>
      <c r="I28" s="16" t="s">
        <v>65</v>
      </c>
      <c r="J28" s="17">
        <v>998508</v>
      </c>
    </row>
    <row r="29" spans="1:10" ht="12.75">
      <c r="A29" t="s">
        <v>66</v>
      </c>
      <c r="E29" t="s">
        <v>67</v>
      </c>
      <c r="F29" s="12">
        <f>F26*B19*2*PI()/C19</f>
        <v>16.30381714390806</v>
      </c>
      <c r="G29" t="s">
        <v>68</v>
      </c>
      <c r="I29" s="16" t="s">
        <v>69</v>
      </c>
      <c r="J29" s="17">
        <v>1811508</v>
      </c>
    </row>
    <row r="30" spans="1:10" ht="12.75">
      <c r="A30" t="s">
        <v>70</v>
      </c>
      <c r="B30" s="20">
        <f>B28-B26</f>
        <v>-18.10721029487771</v>
      </c>
      <c r="C30" t="s">
        <v>59</v>
      </c>
      <c r="E30" t="s">
        <v>71</v>
      </c>
      <c r="G30" s="3">
        <f>6.672*10^-20</f>
        <v>6.672E-20</v>
      </c>
      <c r="I30" s="16" t="s">
        <v>72</v>
      </c>
      <c r="J30" s="17">
        <v>51768132</v>
      </c>
    </row>
    <row r="31" spans="1:10" ht="12.75">
      <c r="A31" t="s">
        <v>73</v>
      </c>
      <c r="E31" t="s">
        <v>74</v>
      </c>
      <c r="G31" s="12">
        <f>149598000/(365.24*24*3600)</f>
        <v>4.740604351476654</v>
      </c>
      <c r="I31" s="19" t="s">
        <v>75</v>
      </c>
      <c r="J31" s="14">
        <v>54351414</v>
      </c>
    </row>
    <row r="32" spans="1:10" ht="12.75">
      <c r="A32" t="s">
        <v>25</v>
      </c>
      <c r="B32" s="20">
        <f>E17-E15</f>
        <v>15.539939999999994</v>
      </c>
      <c r="I32" s="15" t="s">
        <v>76</v>
      </c>
      <c r="J32" s="10">
        <v>125252</v>
      </c>
    </row>
    <row r="33" spans="1:10" ht="12.75">
      <c r="A33" s="15" t="s">
        <v>77</v>
      </c>
      <c r="B33" s="21"/>
      <c r="C33" s="22"/>
      <c r="D33" s="23" t="s">
        <v>78</v>
      </c>
      <c r="E33" s="24"/>
      <c r="F33" s="24">
        <f>F22*G31</f>
        <v>1.7959995592480735</v>
      </c>
      <c r="G33" s="25" t="s">
        <v>79</v>
      </c>
      <c r="I33" s="16" t="s">
        <v>80</v>
      </c>
      <c r="J33" s="17">
        <v>177752</v>
      </c>
    </row>
    <row r="34" spans="1:10" ht="12.75">
      <c r="A34" s="19" t="s">
        <v>81</v>
      </c>
      <c r="B34" s="26">
        <f>ABS((C15*C17)/(C15-C17))</f>
        <v>19.88158275832469</v>
      </c>
      <c r="C34" s="27" t="s">
        <v>23</v>
      </c>
      <c r="D34" s="23" t="s">
        <v>82</v>
      </c>
      <c r="E34" s="24"/>
      <c r="F34" s="24">
        <f>G22*G31</f>
        <v>1.5409253266219731</v>
      </c>
      <c r="G34" s="25" t="s">
        <v>79</v>
      </c>
      <c r="I34" s="16" t="s">
        <v>83</v>
      </c>
      <c r="J34" s="17">
        <v>235000</v>
      </c>
    </row>
    <row r="35" spans="1:10" ht="12.75">
      <c r="A35" s="28" t="s">
        <v>84</v>
      </c>
      <c r="B35" s="24">
        <f>B20</f>
        <v>10.004384785574665</v>
      </c>
      <c r="C35" s="25" t="s">
        <v>23</v>
      </c>
      <c r="D35" s="23" t="s">
        <v>85</v>
      </c>
      <c r="E35" s="24"/>
      <c r="F35" s="24">
        <f>F34+F33</f>
        <v>3.3369248858700464</v>
      </c>
      <c r="G35" s="25" t="s">
        <v>79</v>
      </c>
      <c r="I35" s="16" t="s">
        <v>86</v>
      </c>
      <c r="J35" s="17">
        <v>317132</v>
      </c>
    </row>
    <row r="36" spans="3:10" ht="12.75">
      <c r="C36" s="28" t="str">
        <f>A15</f>
        <v>Jupiter</v>
      </c>
      <c r="D36" s="24" t="s">
        <v>87</v>
      </c>
      <c r="E36" s="24"/>
      <c r="F36" s="24">
        <f>SQRT(2*G30*F15/G15)</f>
        <v>59.551279053474815</v>
      </c>
      <c r="G36" s="25" t="s">
        <v>79</v>
      </c>
      <c r="H36" s="29"/>
      <c r="I36" s="16" t="s">
        <v>88</v>
      </c>
      <c r="J36" s="17">
        <v>466772</v>
      </c>
    </row>
    <row r="37" spans="3:10" ht="12.75">
      <c r="C37" s="9" t="str">
        <f>A17</f>
        <v>Saturn</v>
      </c>
      <c r="D37" s="21" t="s">
        <v>87</v>
      </c>
      <c r="E37" s="21"/>
      <c r="F37" s="21">
        <f>SQRT(2*G30*F17/G17)</f>
        <v>35.46286303364466</v>
      </c>
      <c r="G37" s="22" t="s">
        <v>79</v>
      </c>
      <c r="H37" s="29"/>
      <c r="I37" s="19" t="s">
        <v>89</v>
      </c>
      <c r="J37" s="14">
        <v>1151562</v>
      </c>
    </row>
    <row r="38" spans="1:12" ht="12.75">
      <c r="A38" s="30"/>
      <c r="B38" s="31"/>
      <c r="C38" s="32" t="str">
        <f>A15</f>
        <v>Jupiter</v>
      </c>
      <c r="D38" s="33" t="s">
        <v>90</v>
      </c>
      <c r="E38" s="33"/>
      <c r="F38" s="34">
        <v>3000000</v>
      </c>
      <c r="G38" s="35" t="s">
        <v>91</v>
      </c>
      <c r="H38" s="36" t="s">
        <v>92</v>
      </c>
      <c r="I38" s="37" t="s">
        <v>93</v>
      </c>
      <c r="J38" s="38">
        <f>SQRT($G$30*F15/(G15+F39))</f>
        <v>42.021039653584076</v>
      </c>
      <c r="K38" s="39" t="s">
        <v>94</v>
      </c>
      <c r="L38" s="22"/>
    </row>
    <row r="39" spans="1:12" ht="12.75">
      <c r="A39" s="30"/>
      <c r="B39" s="31"/>
      <c r="C39" s="40"/>
      <c r="D39" s="30" t="s">
        <v>95</v>
      </c>
      <c r="E39" s="31"/>
      <c r="F39" s="41">
        <v>300</v>
      </c>
      <c r="G39" s="42" t="s">
        <v>91</v>
      </c>
      <c r="H39" s="43">
        <f>H15-G15</f>
        <v>47829512.04202093</v>
      </c>
      <c r="I39" s="19" t="s">
        <v>96</v>
      </c>
      <c r="J39" s="44">
        <f>F43*((F38+G15)/(F39+G15))</f>
        <v>58.744156787893</v>
      </c>
      <c r="K39" s="45" t="s">
        <v>97</v>
      </c>
      <c r="L39" s="46">
        <f>2*PI()*SQRT(((F39+F38)/2+G15)^3/(G$30*F15))</f>
        <v>1099525.9620730828</v>
      </c>
    </row>
    <row r="40" spans="1:12" ht="12.75">
      <c r="A40" s="30"/>
      <c r="B40" s="31"/>
      <c r="C40" s="47" t="s">
        <v>98</v>
      </c>
      <c r="D40" s="31"/>
      <c r="E40" s="31"/>
      <c r="F40" s="31">
        <f>SQRT(G30*F15/(G15+F38))</f>
        <v>6.424363781846234</v>
      </c>
      <c r="G40" s="42" t="s">
        <v>79</v>
      </c>
      <c r="H40" s="48"/>
      <c r="I40" s="15" t="s">
        <v>99</v>
      </c>
      <c r="J40" s="49">
        <f>J38-J39</f>
        <v>-16.72311713430892</v>
      </c>
      <c r="K40" s="45" t="s">
        <v>100</v>
      </c>
      <c r="L40" s="42">
        <f>L39/3600</f>
        <v>305.4238783536341</v>
      </c>
    </row>
    <row r="41" spans="1:12" ht="12.75">
      <c r="A41" s="30"/>
      <c r="B41" s="31"/>
      <c r="C41" s="40" t="s">
        <v>101</v>
      </c>
      <c r="D41" s="30"/>
      <c r="E41" s="31"/>
      <c r="F41" s="31">
        <f>F40*SQRT(2)</f>
        <v>9.085422389905451</v>
      </c>
      <c r="G41" s="42" t="s">
        <v>79</v>
      </c>
      <c r="H41" s="50"/>
      <c r="I41" s="19" t="s">
        <v>102</v>
      </c>
      <c r="J41" s="44">
        <f>F43-F40</f>
        <v>-5.051298019631513</v>
      </c>
      <c r="K41" s="51" t="s">
        <v>103</v>
      </c>
      <c r="L41" s="27">
        <f>L40/24</f>
        <v>12.725994931401422</v>
      </c>
    </row>
    <row r="42" spans="1:12" ht="12.75">
      <c r="A42" s="30"/>
      <c r="B42" s="31"/>
      <c r="C42" s="47" t="s">
        <v>104</v>
      </c>
      <c r="D42" s="31"/>
      <c r="E42" s="31"/>
      <c r="F42" s="31">
        <f>SQRT(F33^2+F41^2)</f>
        <v>9.26123719703877</v>
      </c>
      <c r="G42" s="42" t="s">
        <v>79</v>
      </c>
      <c r="H42" s="52"/>
      <c r="I42" s="53"/>
      <c r="J42" s="54"/>
      <c r="K42" t="s">
        <v>105</v>
      </c>
      <c r="L42" s="12">
        <f>1+(F33/F40)^2</f>
        <v>1.0781541783127055</v>
      </c>
    </row>
    <row r="43" spans="1:13" ht="12.75">
      <c r="A43" s="30"/>
      <c r="B43" s="31"/>
      <c r="C43" s="47" t="s">
        <v>106</v>
      </c>
      <c r="D43" s="31"/>
      <c r="E43" s="31"/>
      <c r="F43" s="31">
        <f>SQRT(G30*F15*(2/(F38+G15)-2/(F38+F39+2*G15)))</f>
        <v>1.3730657622147198</v>
      </c>
      <c r="G43" s="42" t="s">
        <v>79</v>
      </c>
      <c r="H43" s="52"/>
      <c r="I43" s="55"/>
      <c r="J43" s="56"/>
      <c r="K43" t="s">
        <v>107</v>
      </c>
      <c r="L43" s="12">
        <f>2*ASIN(1/L42)</f>
        <v>2.37539697702961</v>
      </c>
      <c r="M43" t="s">
        <v>108</v>
      </c>
    </row>
    <row r="44" spans="1:13" ht="12.75">
      <c r="A44" s="30"/>
      <c r="B44" s="31"/>
      <c r="C44" s="57" t="s">
        <v>109</v>
      </c>
      <c r="D44" s="58"/>
      <c r="E44" s="58"/>
      <c r="F44" s="58">
        <f>F42-F43</f>
        <v>7.88817143482405</v>
      </c>
      <c r="G44" s="59" t="s">
        <v>79</v>
      </c>
      <c r="H44" s="60"/>
      <c r="I44" s="61"/>
      <c r="J44" s="62"/>
      <c r="L44" s="12">
        <f>L43*180/PI()</f>
        <v>136.1002214519308</v>
      </c>
      <c r="M44" t="s">
        <v>48</v>
      </c>
    </row>
    <row r="45" spans="1:12" ht="12.75">
      <c r="A45" s="30"/>
      <c r="B45" s="31"/>
      <c r="C45" s="32" t="str">
        <f>A17</f>
        <v>Saturn</v>
      </c>
      <c r="D45" s="33" t="s">
        <v>90</v>
      </c>
      <c r="E45" s="33"/>
      <c r="F45" s="34">
        <v>300</v>
      </c>
      <c r="G45" s="35" t="s">
        <v>91</v>
      </c>
      <c r="H45" s="63" t="s">
        <v>110</v>
      </c>
      <c r="I45" s="37" t="s">
        <v>93</v>
      </c>
      <c r="J45" s="38">
        <f>SQRT($G$30*F17/(G17+F46))</f>
        <v>25.013851663882942</v>
      </c>
      <c r="K45" s="39" t="s">
        <v>94</v>
      </c>
      <c r="L45" s="22"/>
    </row>
    <row r="46" spans="1:12" ht="12.75">
      <c r="A46" s="30"/>
      <c r="B46" s="31"/>
      <c r="C46" s="40"/>
      <c r="D46" s="31" t="s">
        <v>95</v>
      </c>
      <c r="E46" s="31"/>
      <c r="F46" s="41">
        <v>300</v>
      </c>
      <c r="G46" s="42" t="s">
        <v>91</v>
      </c>
      <c r="H46" s="64">
        <f>H17-G17</f>
        <v>54104061.34161616</v>
      </c>
      <c r="I46" s="19" t="s">
        <v>96</v>
      </c>
      <c r="J46" s="44">
        <f>F50*((F45+G17)/(F46+G17))</f>
        <v>25.013851663882942</v>
      </c>
      <c r="K46" s="45" t="s">
        <v>97</v>
      </c>
      <c r="L46" s="46">
        <f>2*PI()*SQRT(((F46+F45)/2+G17)^3/(G$30*F17))</f>
        <v>15213.969155927194</v>
      </c>
    </row>
    <row r="47" spans="1:12" ht="12.75">
      <c r="A47" s="30"/>
      <c r="B47" s="31"/>
      <c r="C47" s="47" t="s">
        <v>98</v>
      </c>
      <c r="D47" s="30"/>
      <c r="E47" s="31"/>
      <c r="F47" s="31">
        <f>SQRT(G30*F17/(G17+F45))</f>
        <v>25.013851663882942</v>
      </c>
      <c r="G47" s="42" t="s">
        <v>79</v>
      </c>
      <c r="H47" s="48"/>
      <c r="I47" s="15" t="s">
        <v>99</v>
      </c>
      <c r="J47" s="49">
        <f>J45-J46</f>
        <v>0</v>
      </c>
      <c r="K47" s="45" t="s">
        <v>100</v>
      </c>
      <c r="L47" s="42">
        <f>L46/3600</f>
        <v>4.226102543313109</v>
      </c>
    </row>
    <row r="48" spans="1:12" ht="12.75">
      <c r="A48" s="30"/>
      <c r="B48" s="31"/>
      <c r="C48" s="40" t="s">
        <v>101</v>
      </c>
      <c r="D48" s="30"/>
      <c r="E48" s="31"/>
      <c r="F48" s="31">
        <f>F47*SQRT(2)</f>
        <v>35.37492827025207</v>
      </c>
      <c r="G48" s="42" t="s">
        <v>79</v>
      </c>
      <c r="H48" s="50"/>
      <c r="I48" s="19" t="s">
        <v>102</v>
      </c>
      <c r="J48" s="44">
        <f>F50-F47</f>
        <v>0</v>
      </c>
      <c r="K48" s="51" t="s">
        <v>103</v>
      </c>
      <c r="L48" s="27">
        <f>L47/24</f>
        <v>0.17608760597137954</v>
      </c>
    </row>
    <row r="49" spans="1:12" ht="12.75">
      <c r="A49" s="30"/>
      <c r="B49" s="31"/>
      <c r="C49" s="47" t="s">
        <v>104</v>
      </c>
      <c r="D49" s="31"/>
      <c r="E49" s="31"/>
      <c r="F49" s="31">
        <f>SQRT(F34^2+F48^2)</f>
        <v>35.40847357607645</v>
      </c>
      <c r="G49" s="42" t="s">
        <v>79</v>
      </c>
      <c r="H49" s="65"/>
      <c r="I49" s="53"/>
      <c r="J49" s="54"/>
      <c r="K49" t="s">
        <v>105</v>
      </c>
      <c r="L49" s="12">
        <f>1+(F34/F47)^2</f>
        <v>1.003794914943659</v>
      </c>
    </row>
    <row r="50" spans="1:13" ht="12.75">
      <c r="A50" s="30"/>
      <c r="B50" s="31"/>
      <c r="C50" s="47" t="s">
        <v>106</v>
      </c>
      <c r="D50" s="31"/>
      <c r="E50" s="31"/>
      <c r="F50" s="31">
        <f>SQRT(G30*F17*(2/(F45+G17)-2/(F45+F46+2*G17)))</f>
        <v>25.013851663882942</v>
      </c>
      <c r="G50" s="42" t="s">
        <v>79</v>
      </c>
      <c r="H50" s="52"/>
      <c r="I50" s="66"/>
      <c r="J50" s="56"/>
      <c r="K50" t="s">
        <v>107</v>
      </c>
      <c r="L50" s="12">
        <f>2*ASIN(1/L49)</f>
        <v>2.9676282312540687</v>
      </c>
      <c r="M50" t="s">
        <v>108</v>
      </c>
    </row>
    <row r="51" spans="1:13" ht="12.75">
      <c r="A51" s="30"/>
      <c r="B51" s="31"/>
      <c r="C51" s="57" t="s">
        <v>109</v>
      </c>
      <c r="D51" s="58"/>
      <c r="E51" s="58"/>
      <c r="F51" s="58">
        <f>F49-F50</f>
        <v>10.39462191219351</v>
      </c>
      <c r="G51" s="59" t="s">
        <v>79</v>
      </c>
      <c r="H51" s="60"/>
      <c r="I51" s="61"/>
      <c r="J51" s="62"/>
      <c r="L51" s="12">
        <f>L50*180/PI()</f>
        <v>170.0325728147316</v>
      </c>
      <c r="M51" t="s">
        <v>48</v>
      </c>
    </row>
    <row r="52" spans="5:7" ht="12.75">
      <c r="E52" s="67" t="s">
        <v>111</v>
      </c>
      <c r="F52" s="68">
        <f>F51+F44</f>
        <v>18.28279334701756</v>
      </c>
      <c r="G52" s="69" t="s">
        <v>79</v>
      </c>
    </row>
    <row r="53" spans="1:8" s="73" customFormat="1" ht="12.75">
      <c r="A53" s="70" t="s">
        <v>112</v>
      </c>
      <c r="B53" s="71" t="s">
        <v>113</v>
      </c>
      <c r="C53" s="71" t="s">
        <v>114</v>
      </c>
      <c r="D53" s="72" t="s">
        <v>115</v>
      </c>
      <c r="E53" s="70" t="s">
        <v>116</v>
      </c>
      <c r="F53" s="71" t="s">
        <v>113</v>
      </c>
      <c r="G53" s="71" t="s">
        <v>114</v>
      </c>
      <c r="H53" s="72" t="s">
        <v>115</v>
      </c>
    </row>
    <row r="54" spans="1:10" ht="12.75">
      <c r="A54" s="74">
        <f>2000+(B24-B32)/B30</f>
        <v>1997.6707708519687</v>
      </c>
      <c r="B54" s="75">
        <f aca="true" t="shared" si="5" ref="B54:B85">MOD(A54,1)*365.25</f>
        <v>244.99905368155117</v>
      </c>
      <c r="C54" s="76">
        <f aca="true" t="shared" si="6" ref="C54:C85">FLOOR(A54,1)</f>
        <v>1997</v>
      </c>
      <c r="D54" s="77">
        <f aca="true" t="shared" si="7" ref="D54:D85">MOD((A54-264/365.25)*360,360)</f>
        <v>341.27216789964586</v>
      </c>
      <c r="E54" s="18">
        <f aca="true" t="shared" si="8" ref="E54:E85">A54+$B$20</f>
        <v>2007.6751556375434</v>
      </c>
      <c r="F54" s="78">
        <f aca="true" t="shared" si="9" ref="F54:F85">MOD(E54,1)*365.25</f>
        <v>246.60059661273124</v>
      </c>
      <c r="G54" s="79">
        <f aca="true" t="shared" si="10" ref="G54:G85">FLOOR(E54,1)</f>
        <v>2007</v>
      </c>
      <c r="H54" s="80">
        <f aca="true" t="shared" si="11" ref="H54:H85">MOD(D54+180,360)</f>
        <v>161.27216789964586</v>
      </c>
      <c r="J54" s="81"/>
    </row>
    <row r="55" spans="1:8" ht="12.75">
      <c r="A55" s="16">
        <f aca="true" t="shared" si="12" ref="A55:A60">A54+$B$34</f>
        <v>2017.5523536102933</v>
      </c>
      <c r="B55" s="78">
        <f t="shared" si="5"/>
        <v>201.74715615961566</v>
      </c>
      <c r="C55" s="79">
        <f t="shared" si="6"/>
        <v>2017</v>
      </c>
      <c r="D55" s="82">
        <f t="shared" si="7"/>
        <v>298.6419608965516</v>
      </c>
      <c r="E55" s="74">
        <f t="shared" si="8"/>
        <v>2027.556738395868</v>
      </c>
      <c r="F55" s="75">
        <f t="shared" si="9"/>
        <v>203.34869909079572</v>
      </c>
      <c r="G55" s="76">
        <f t="shared" si="10"/>
        <v>2027</v>
      </c>
      <c r="H55" s="77">
        <f t="shared" si="11"/>
        <v>118.64196089655161</v>
      </c>
    </row>
    <row r="56" spans="1:8" ht="12.75">
      <c r="A56" s="74">
        <f t="shared" si="12"/>
        <v>2037.4339363686179</v>
      </c>
      <c r="B56" s="75">
        <f t="shared" si="5"/>
        <v>158.49525863768014</v>
      </c>
      <c r="C56" s="76">
        <f t="shared" si="6"/>
        <v>2037</v>
      </c>
      <c r="D56" s="77">
        <f t="shared" si="7"/>
        <v>256.01175389345735</v>
      </c>
      <c r="E56" s="18">
        <f t="shared" si="8"/>
        <v>2047.4383211541926</v>
      </c>
      <c r="F56" s="78">
        <f t="shared" si="9"/>
        <v>160.0968015688602</v>
      </c>
      <c r="G56" s="79">
        <f t="shared" si="10"/>
        <v>2047</v>
      </c>
      <c r="H56" s="80">
        <f t="shared" si="11"/>
        <v>76.01175389345735</v>
      </c>
    </row>
    <row r="57" spans="1:8" ht="12.75">
      <c r="A57" s="16">
        <f t="shared" si="12"/>
        <v>2057.3155191269425</v>
      </c>
      <c r="B57" s="78">
        <f t="shared" si="5"/>
        <v>115.24336111574462</v>
      </c>
      <c r="C57" s="79">
        <f t="shared" si="6"/>
        <v>2057</v>
      </c>
      <c r="D57" s="82">
        <f t="shared" si="7"/>
        <v>213.38154689024668</v>
      </c>
      <c r="E57" s="74">
        <f t="shared" si="8"/>
        <v>2067.319903912517</v>
      </c>
      <c r="F57" s="75">
        <f t="shared" si="9"/>
        <v>116.84490404684163</v>
      </c>
      <c r="G57" s="76">
        <f t="shared" si="10"/>
        <v>2067</v>
      </c>
      <c r="H57" s="77">
        <f t="shared" si="11"/>
        <v>33.38154689024668</v>
      </c>
    </row>
    <row r="58" spans="1:8" ht="12.75">
      <c r="A58" s="74">
        <f t="shared" si="12"/>
        <v>2077.1971018852673</v>
      </c>
      <c r="B58" s="75">
        <f t="shared" si="5"/>
        <v>71.99146359389215</v>
      </c>
      <c r="C58" s="76">
        <f t="shared" si="6"/>
        <v>2077</v>
      </c>
      <c r="D58" s="77">
        <f t="shared" si="7"/>
        <v>170.75133988715243</v>
      </c>
      <c r="E58" s="18">
        <f t="shared" si="8"/>
        <v>2087.201486670842</v>
      </c>
      <c r="F58" s="78">
        <f t="shared" si="9"/>
        <v>73.59300652498916</v>
      </c>
      <c r="G58" s="79">
        <f t="shared" si="10"/>
        <v>2087</v>
      </c>
      <c r="H58" s="80">
        <f t="shared" si="11"/>
        <v>350.7513398871524</v>
      </c>
    </row>
    <row r="59" spans="1:8" ht="12.75">
      <c r="A59" s="16">
        <f t="shared" si="12"/>
        <v>2097.078684643592</v>
      </c>
      <c r="B59" s="78">
        <f t="shared" si="5"/>
        <v>28.73956607203968</v>
      </c>
      <c r="C59" s="79">
        <f t="shared" si="6"/>
        <v>2097</v>
      </c>
      <c r="D59" s="82">
        <f t="shared" si="7"/>
        <v>128.12113288405817</v>
      </c>
      <c r="E59" s="74">
        <f t="shared" si="8"/>
        <v>2107.0830694291667</v>
      </c>
      <c r="F59" s="75">
        <f t="shared" si="9"/>
        <v>30.341109003136694</v>
      </c>
      <c r="G59" s="76">
        <f t="shared" si="10"/>
        <v>2107</v>
      </c>
      <c r="H59" s="77">
        <f t="shared" si="11"/>
        <v>308.12113288405817</v>
      </c>
    </row>
    <row r="60" spans="1:8" ht="12.75">
      <c r="A60" s="74">
        <f t="shared" si="12"/>
        <v>2116.960267401917</v>
      </c>
      <c r="B60" s="75">
        <f t="shared" si="5"/>
        <v>350.7376685501872</v>
      </c>
      <c r="C60" s="76">
        <f t="shared" si="6"/>
        <v>2116</v>
      </c>
      <c r="D60" s="77">
        <f t="shared" si="7"/>
        <v>85.49092588108033</v>
      </c>
      <c r="E60" s="18">
        <f t="shared" si="8"/>
        <v>2126.9646521874915</v>
      </c>
      <c r="F60" s="78">
        <f t="shared" si="9"/>
        <v>352.3392114812842</v>
      </c>
      <c r="G60" s="79">
        <f t="shared" si="10"/>
        <v>2126</v>
      </c>
      <c r="H60" s="80">
        <f t="shared" si="11"/>
        <v>265.49092588108033</v>
      </c>
    </row>
    <row r="61" spans="1:8" ht="12.75">
      <c r="A61" s="16">
        <f aca="true" t="shared" si="13" ref="A61:A114">A60+$B$34</f>
        <v>2136.841850160242</v>
      </c>
      <c r="B61" s="78">
        <f t="shared" si="5"/>
        <v>307.48577102833474</v>
      </c>
      <c r="C61" s="79">
        <f t="shared" si="6"/>
        <v>2136</v>
      </c>
      <c r="D61" s="82">
        <f t="shared" si="7"/>
        <v>42.86071887798607</v>
      </c>
      <c r="E61" s="74">
        <f t="shared" si="8"/>
        <v>2146.8462349458164</v>
      </c>
      <c r="F61" s="75">
        <f t="shared" si="9"/>
        <v>309.08731395943175</v>
      </c>
      <c r="G61" s="76">
        <f t="shared" si="10"/>
        <v>2146</v>
      </c>
      <c r="H61" s="77">
        <f t="shared" si="11"/>
        <v>222.86071887798607</v>
      </c>
    </row>
    <row r="62" spans="1:8" ht="12.75">
      <c r="A62" s="74">
        <f t="shared" si="13"/>
        <v>2156.7234329185667</v>
      </c>
      <c r="B62" s="75">
        <f t="shared" si="5"/>
        <v>264.23387350648227</v>
      </c>
      <c r="C62" s="76">
        <f t="shared" si="6"/>
        <v>2156</v>
      </c>
      <c r="D62" s="77">
        <f t="shared" si="7"/>
        <v>0.23051187489181757</v>
      </c>
      <c r="E62" s="18">
        <f t="shared" si="8"/>
        <v>2166.727817704141</v>
      </c>
      <c r="F62" s="78">
        <f t="shared" si="9"/>
        <v>265.8354164375793</v>
      </c>
      <c r="G62" s="79">
        <f t="shared" si="10"/>
        <v>2166</v>
      </c>
      <c r="H62" s="80">
        <f t="shared" si="11"/>
        <v>180.23051187489182</v>
      </c>
    </row>
    <row r="63" spans="1:8" ht="12.75">
      <c r="A63" s="16">
        <f t="shared" si="13"/>
        <v>2176.6050156768915</v>
      </c>
      <c r="B63" s="78">
        <f t="shared" si="5"/>
        <v>220.9819759846298</v>
      </c>
      <c r="C63" s="79">
        <f t="shared" si="6"/>
        <v>2176</v>
      </c>
      <c r="D63" s="82">
        <f t="shared" si="7"/>
        <v>317.60030487179756</v>
      </c>
      <c r="E63" s="74">
        <f t="shared" si="8"/>
        <v>2186.609400462466</v>
      </c>
      <c r="F63" s="75">
        <f t="shared" si="9"/>
        <v>222.5835189157268</v>
      </c>
      <c r="G63" s="76">
        <f t="shared" si="10"/>
        <v>2186</v>
      </c>
      <c r="H63" s="77">
        <f t="shared" si="11"/>
        <v>137.60030487179756</v>
      </c>
    </row>
    <row r="64" spans="1:8" ht="12.75">
      <c r="A64" s="74">
        <f t="shared" si="13"/>
        <v>2196.4865984352164</v>
      </c>
      <c r="B64" s="75">
        <f t="shared" si="5"/>
        <v>177.73007846277733</v>
      </c>
      <c r="C64" s="76">
        <f t="shared" si="6"/>
        <v>2196</v>
      </c>
      <c r="D64" s="77">
        <f t="shared" si="7"/>
        <v>274.9700978688197</v>
      </c>
      <c r="E64" s="18">
        <f t="shared" si="8"/>
        <v>2206.490983220791</v>
      </c>
      <c r="F64" s="78">
        <f t="shared" si="9"/>
        <v>179.33162139387434</v>
      </c>
      <c r="G64" s="79">
        <f t="shared" si="10"/>
        <v>2206</v>
      </c>
      <c r="H64" s="80">
        <f t="shared" si="11"/>
        <v>94.97009786881972</v>
      </c>
    </row>
    <row r="65" spans="1:8" ht="12.75">
      <c r="A65" s="16">
        <f t="shared" si="13"/>
        <v>2216.368181193541</v>
      </c>
      <c r="B65" s="78">
        <f t="shared" si="5"/>
        <v>134.47818094092486</v>
      </c>
      <c r="C65" s="79">
        <f t="shared" si="6"/>
        <v>2216</v>
      </c>
      <c r="D65" s="82">
        <f t="shared" si="7"/>
        <v>232.33989086572547</v>
      </c>
      <c r="E65" s="74">
        <f t="shared" si="8"/>
        <v>2226.3725659791157</v>
      </c>
      <c r="F65" s="75">
        <f t="shared" si="9"/>
        <v>136.07972387202187</v>
      </c>
      <c r="G65" s="76">
        <f t="shared" si="10"/>
        <v>2226</v>
      </c>
      <c r="H65" s="77">
        <f t="shared" si="11"/>
        <v>52.339890865725465</v>
      </c>
    </row>
    <row r="66" spans="1:8" ht="12.75">
      <c r="A66" s="74">
        <f t="shared" si="13"/>
        <v>2236.249763951866</v>
      </c>
      <c r="B66" s="75">
        <f t="shared" si="5"/>
        <v>91.22628341907239</v>
      </c>
      <c r="C66" s="76">
        <f t="shared" si="6"/>
        <v>2236</v>
      </c>
      <c r="D66" s="77">
        <f t="shared" si="7"/>
        <v>189.7096838626312</v>
      </c>
      <c r="E66" s="18">
        <f t="shared" si="8"/>
        <v>2246.2541487374406</v>
      </c>
      <c r="F66" s="78">
        <f t="shared" si="9"/>
        <v>92.8278263501694</v>
      </c>
      <c r="G66" s="79">
        <f t="shared" si="10"/>
        <v>2246</v>
      </c>
      <c r="H66" s="80">
        <f t="shared" si="11"/>
        <v>9.70968386263121</v>
      </c>
    </row>
    <row r="67" spans="1:8" ht="12.75">
      <c r="A67" s="16">
        <f t="shared" si="13"/>
        <v>2256.131346710191</v>
      </c>
      <c r="B67" s="78">
        <f t="shared" si="5"/>
        <v>47.97438589721992</v>
      </c>
      <c r="C67" s="79">
        <f t="shared" si="6"/>
        <v>2256</v>
      </c>
      <c r="D67" s="82">
        <f t="shared" si="7"/>
        <v>147.07947685965337</v>
      </c>
      <c r="E67" s="74">
        <f t="shared" si="8"/>
        <v>2266.1357314957654</v>
      </c>
      <c r="F67" s="75">
        <f t="shared" si="9"/>
        <v>49.57592882831693</v>
      </c>
      <c r="G67" s="76">
        <f t="shared" si="10"/>
        <v>2266</v>
      </c>
      <c r="H67" s="77">
        <f t="shared" si="11"/>
        <v>327.07947685965337</v>
      </c>
    </row>
    <row r="68" spans="1:8" ht="12.75">
      <c r="A68" s="74">
        <f t="shared" si="13"/>
        <v>2276.0129294685157</v>
      </c>
      <c r="B68" s="75">
        <f t="shared" si="5"/>
        <v>4.722488375367448</v>
      </c>
      <c r="C68" s="76">
        <f t="shared" si="6"/>
        <v>2276</v>
      </c>
      <c r="D68" s="77">
        <f t="shared" si="7"/>
        <v>104.44926985655911</v>
      </c>
      <c r="E68" s="18">
        <f t="shared" si="8"/>
        <v>2286.0173142540903</v>
      </c>
      <c r="F68" s="78">
        <f t="shared" si="9"/>
        <v>6.324031306464462</v>
      </c>
      <c r="G68" s="79">
        <f t="shared" si="10"/>
        <v>2286</v>
      </c>
      <c r="H68" s="80">
        <f t="shared" si="11"/>
        <v>284.4492698565591</v>
      </c>
    </row>
    <row r="69" spans="1:8" ht="12.75">
      <c r="A69" s="16">
        <f t="shared" si="13"/>
        <v>2295.8945122268406</v>
      </c>
      <c r="B69" s="78">
        <f t="shared" si="5"/>
        <v>326.720590853515</v>
      </c>
      <c r="C69" s="79">
        <f t="shared" si="6"/>
        <v>2295</v>
      </c>
      <c r="D69" s="82">
        <f t="shared" si="7"/>
        <v>61.81906285346486</v>
      </c>
      <c r="E69" s="74">
        <f t="shared" si="8"/>
        <v>2305.898897012415</v>
      </c>
      <c r="F69" s="75">
        <f t="shared" si="9"/>
        <v>328.322133784612</v>
      </c>
      <c r="G69" s="76">
        <f t="shared" si="10"/>
        <v>2305</v>
      </c>
      <c r="H69" s="77">
        <f t="shared" si="11"/>
        <v>241.81906285346486</v>
      </c>
    </row>
    <row r="70" spans="1:8" ht="12.75">
      <c r="A70" s="74">
        <f t="shared" si="13"/>
        <v>2315.7760949851654</v>
      </c>
      <c r="B70" s="75">
        <f t="shared" si="5"/>
        <v>283.4686933316625</v>
      </c>
      <c r="C70" s="76">
        <f t="shared" si="6"/>
        <v>2315</v>
      </c>
      <c r="D70" s="77">
        <f t="shared" si="7"/>
        <v>19.188855850487016</v>
      </c>
      <c r="E70" s="18">
        <f t="shared" si="8"/>
        <v>2325.78047977074</v>
      </c>
      <c r="F70" s="78">
        <f t="shared" si="9"/>
        <v>285.0702362627595</v>
      </c>
      <c r="G70" s="79">
        <f t="shared" si="10"/>
        <v>2325</v>
      </c>
      <c r="H70" s="80">
        <f t="shared" si="11"/>
        <v>199.18885585048702</v>
      </c>
    </row>
    <row r="71" spans="1:8" ht="12.75">
      <c r="A71" s="16">
        <f t="shared" si="13"/>
        <v>2335.6576777434902</v>
      </c>
      <c r="B71" s="78">
        <f t="shared" si="5"/>
        <v>240.21679580981004</v>
      </c>
      <c r="C71" s="79">
        <f t="shared" si="6"/>
        <v>2335</v>
      </c>
      <c r="D71" s="82">
        <f t="shared" si="7"/>
        <v>336.55864884739276</v>
      </c>
      <c r="E71" s="74">
        <f t="shared" si="8"/>
        <v>2345.6620625290648</v>
      </c>
      <c r="F71" s="75">
        <f t="shared" si="9"/>
        <v>241.81833874090705</v>
      </c>
      <c r="G71" s="76">
        <f t="shared" si="10"/>
        <v>2345</v>
      </c>
      <c r="H71" s="77">
        <f t="shared" si="11"/>
        <v>156.55864884739276</v>
      </c>
    </row>
    <row r="72" spans="1:8" ht="12.75">
      <c r="A72" s="74">
        <f t="shared" si="13"/>
        <v>2355.539260501815</v>
      </c>
      <c r="B72" s="75">
        <f t="shared" si="5"/>
        <v>196.96489828795757</v>
      </c>
      <c r="C72" s="76">
        <f t="shared" si="6"/>
        <v>2355</v>
      </c>
      <c r="D72" s="77">
        <f t="shared" si="7"/>
        <v>293.9284418442985</v>
      </c>
      <c r="E72" s="18">
        <f t="shared" si="8"/>
        <v>2365.5436452873896</v>
      </c>
      <c r="F72" s="78">
        <f t="shared" si="9"/>
        <v>198.56644121905458</v>
      </c>
      <c r="G72" s="79">
        <f t="shared" si="10"/>
        <v>2365</v>
      </c>
      <c r="H72" s="80">
        <f t="shared" si="11"/>
        <v>113.9284418442985</v>
      </c>
    </row>
    <row r="73" spans="1:8" ht="12.75">
      <c r="A73" s="16">
        <f t="shared" si="13"/>
        <v>2375.42084326014</v>
      </c>
      <c r="B73" s="78">
        <f t="shared" si="5"/>
        <v>153.7130007661051</v>
      </c>
      <c r="C73" s="79">
        <f t="shared" si="6"/>
        <v>2375</v>
      </c>
      <c r="D73" s="82">
        <f t="shared" si="7"/>
        <v>251.29823484132066</v>
      </c>
      <c r="E73" s="74">
        <f t="shared" si="8"/>
        <v>2385.4252280457144</v>
      </c>
      <c r="F73" s="75">
        <f t="shared" si="9"/>
        <v>155.3145436972021</v>
      </c>
      <c r="G73" s="76">
        <f t="shared" si="10"/>
        <v>2385</v>
      </c>
      <c r="H73" s="77">
        <f t="shared" si="11"/>
        <v>71.29823484132066</v>
      </c>
    </row>
    <row r="74" spans="1:8" ht="12.75">
      <c r="A74" s="74">
        <f t="shared" si="13"/>
        <v>2395.3024260184648</v>
      </c>
      <c r="B74" s="75">
        <f t="shared" si="5"/>
        <v>110.46110324425263</v>
      </c>
      <c r="C74" s="76">
        <f t="shared" si="6"/>
        <v>2395</v>
      </c>
      <c r="D74" s="77">
        <f t="shared" si="7"/>
        <v>208.6680278382264</v>
      </c>
      <c r="E74" s="18">
        <f t="shared" si="8"/>
        <v>2405.3068108040393</v>
      </c>
      <c r="F74" s="78">
        <f t="shared" si="9"/>
        <v>112.06264617534964</v>
      </c>
      <c r="G74" s="79">
        <f t="shared" si="10"/>
        <v>2405</v>
      </c>
      <c r="H74" s="80">
        <f t="shared" si="11"/>
        <v>28.668027838226408</v>
      </c>
    </row>
    <row r="75" spans="1:8" ht="12.75">
      <c r="A75" s="16">
        <f t="shared" si="13"/>
        <v>2415.1840087767896</v>
      </c>
      <c r="B75" s="78">
        <f t="shared" si="5"/>
        <v>67.20920572240016</v>
      </c>
      <c r="C75" s="79">
        <f t="shared" si="6"/>
        <v>2415</v>
      </c>
      <c r="D75" s="82">
        <f t="shared" si="7"/>
        <v>166.03782083513215</v>
      </c>
      <c r="E75" s="74">
        <f t="shared" si="8"/>
        <v>2425.188393562364</v>
      </c>
      <c r="F75" s="75">
        <f t="shared" si="9"/>
        <v>68.81074865349717</v>
      </c>
      <c r="G75" s="76">
        <f t="shared" si="10"/>
        <v>2425</v>
      </c>
      <c r="H75" s="77">
        <f t="shared" si="11"/>
        <v>346.03782083513215</v>
      </c>
    </row>
    <row r="76" spans="1:8" ht="12.75">
      <c r="A76" s="74">
        <f t="shared" si="13"/>
        <v>2435.0655915351144</v>
      </c>
      <c r="B76" s="75">
        <f t="shared" si="5"/>
        <v>23.957308200547686</v>
      </c>
      <c r="C76" s="76">
        <f t="shared" si="6"/>
        <v>2435</v>
      </c>
      <c r="D76" s="77">
        <f t="shared" si="7"/>
        <v>123.4076138320379</v>
      </c>
      <c r="E76" s="18">
        <f t="shared" si="8"/>
        <v>2445.069976320689</v>
      </c>
      <c r="F76" s="78">
        <f t="shared" si="9"/>
        <v>25.5588511316447</v>
      </c>
      <c r="G76" s="79">
        <f t="shared" si="10"/>
        <v>2445</v>
      </c>
      <c r="H76" s="80">
        <f t="shared" si="11"/>
        <v>303.4076138320379</v>
      </c>
    </row>
    <row r="77" spans="1:8" ht="12.75">
      <c r="A77" s="16">
        <f t="shared" si="13"/>
        <v>2454.9471742934393</v>
      </c>
      <c r="B77" s="78">
        <f t="shared" si="5"/>
        <v>345.9554106786952</v>
      </c>
      <c r="C77" s="79">
        <f t="shared" si="6"/>
        <v>2454</v>
      </c>
      <c r="D77" s="82">
        <f t="shared" si="7"/>
        <v>80.77740682906006</v>
      </c>
      <c r="E77" s="74">
        <f t="shared" si="8"/>
        <v>2464.951559079014</v>
      </c>
      <c r="F77" s="75">
        <f t="shared" si="9"/>
        <v>347.55695360979223</v>
      </c>
      <c r="G77" s="76">
        <f t="shared" si="10"/>
        <v>2464</v>
      </c>
      <c r="H77" s="77">
        <f t="shared" si="11"/>
        <v>260.77740682906006</v>
      </c>
    </row>
    <row r="78" spans="1:8" ht="12.75">
      <c r="A78" s="74">
        <f t="shared" si="13"/>
        <v>2474.828757051764</v>
      </c>
      <c r="B78" s="75">
        <f t="shared" si="5"/>
        <v>302.70351315684275</v>
      </c>
      <c r="C78" s="76">
        <f t="shared" si="6"/>
        <v>2474</v>
      </c>
      <c r="D78" s="77">
        <f t="shared" si="7"/>
        <v>38.1471998259658</v>
      </c>
      <c r="E78" s="18">
        <f t="shared" si="8"/>
        <v>2484.8331418373386</v>
      </c>
      <c r="F78" s="78">
        <f t="shared" si="9"/>
        <v>304.30505608793976</v>
      </c>
      <c r="G78" s="79">
        <f t="shared" si="10"/>
        <v>2484</v>
      </c>
      <c r="H78" s="80">
        <f t="shared" si="11"/>
        <v>218.1471998259658</v>
      </c>
    </row>
    <row r="79" spans="1:8" ht="12.75">
      <c r="A79" s="16">
        <f t="shared" si="13"/>
        <v>2494.710339810089</v>
      </c>
      <c r="B79" s="78">
        <f t="shared" si="5"/>
        <v>259.4516156349903</v>
      </c>
      <c r="C79" s="79">
        <f t="shared" si="6"/>
        <v>2494</v>
      </c>
      <c r="D79" s="82">
        <f t="shared" si="7"/>
        <v>355.51699282287154</v>
      </c>
      <c r="E79" s="74">
        <f t="shared" si="8"/>
        <v>2504.7147245956635</v>
      </c>
      <c r="F79" s="75">
        <f t="shared" si="9"/>
        <v>261.0531585660873</v>
      </c>
      <c r="G79" s="76">
        <f t="shared" si="10"/>
        <v>2504</v>
      </c>
      <c r="H79" s="77">
        <f t="shared" si="11"/>
        <v>175.51699282287154</v>
      </c>
    </row>
    <row r="80" spans="1:8" ht="12.75">
      <c r="A80" s="74">
        <f t="shared" si="13"/>
        <v>2514.591922568414</v>
      </c>
      <c r="B80" s="75">
        <f t="shared" si="5"/>
        <v>216.1997181131378</v>
      </c>
      <c r="C80" s="76">
        <f t="shared" si="6"/>
        <v>2514</v>
      </c>
      <c r="D80" s="77">
        <f t="shared" si="7"/>
        <v>312.8867858198937</v>
      </c>
      <c r="E80" s="18">
        <f t="shared" si="8"/>
        <v>2524.5963073539883</v>
      </c>
      <c r="F80" s="78">
        <f t="shared" si="9"/>
        <v>217.80126104423482</v>
      </c>
      <c r="G80" s="79">
        <f t="shared" si="10"/>
        <v>2524</v>
      </c>
      <c r="H80" s="80">
        <f t="shared" si="11"/>
        <v>132.8867858198937</v>
      </c>
    </row>
    <row r="81" spans="1:8" ht="12.75">
      <c r="A81" s="16">
        <f t="shared" si="13"/>
        <v>2534.4735053267386</v>
      </c>
      <c r="B81" s="78">
        <f t="shared" si="5"/>
        <v>172.94782059128534</v>
      </c>
      <c r="C81" s="79">
        <f t="shared" si="6"/>
        <v>2534</v>
      </c>
      <c r="D81" s="82">
        <f t="shared" si="7"/>
        <v>270.25657881679945</v>
      </c>
      <c r="E81" s="74">
        <f t="shared" si="8"/>
        <v>2544.477890112313</v>
      </c>
      <c r="F81" s="75">
        <f t="shared" si="9"/>
        <v>174.54936352238235</v>
      </c>
      <c r="G81" s="76">
        <f t="shared" si="10"/>
        <v>2544</v>
      </c>
      <c r="H81" s="77">
        <f t="shared" si="11"/>
        <v>90.25657881679945</v>
      </c>
    </row>
    <row r="82" spans="1:8" ht="12.75">
      <c r="A82" s="74">
        <f t="shared" si="13"/>
        <v>2554.3550880850635</v>
      </c>
      <c r="B82" s="75">
        <f t="shared" si="5"/>
        <v>129.69592306943287</v>
      </c>
      <c r="C82" s="76">
        <f t="shared" si="6"/>
        <v>2554</v>
      </c>
      <c r="D82" s="77">
        <f t="shared" si="7"/>
        <v>227.6263718137052</v>
      </c>
      <c r="E82" s="18">
        <f t="shared" si="8"/>
        <v>2564.359472870638</v>
      </c>
      <c r="F82" s="78">
        <f t="shared" si="9"/>
        <v>131.29746600052988</v>
      </c>
      <c r="G82" s="79">
        <f t="shared" si="10"/>
        <v>2564</v>
      </c>
      <c r="H82" s="80">
        <f t="shared" si="11"/>
        <v>47.62637181370519</v>
      </c>
    </row>
    <row r="83" spans="1:8" ht="12.75">
      <c r="A83" s="16">
        <f t="shared" si="13"/>
        <v>2574.2366708433883</v>
      </c>
      <c r="B83" s="78">
        <f t="shared" si="5"/>
        <v>86.4440255475804</v>
      </c>
      <c r="C83" s="79">
        <f t="shared" si="6"/>
        <v>2574</v>
      </c>
      <c r="D83" s="82">
        <f t="shared" si="7"/>
        <v>184.99616481072735</v>
      </c>
      <c r="E83" s="74">
        <f t="shared" si="8"/>
        <v>2584.241055628963</v>
      </c>
      <c r="F83" s="75">
        <f t="shared" si="9"/>
        <v>88.04556847867741</v>
      </c>
      <c r="G83" s="76">
        <f t="shared" si="10"/>
        <v>2584</v>
      </c>
      <c r="H83" s="77">
        <f t="shared" si="11"/>
        <v>4.99616481072735</v>
      </c>
    </row>
    <row r="84" spans="1:8" ht="12.75">
      <c r="A84" s="74">
        <f t="shared" si="13"/>
        <v>2594.118253601713</v>
      </c>
      <c r="B84" s="75">
        <f t="shared" si="5"/>
        <v>43.192128025727925</v>
      </c>
      <c r="C84" s="76">
        <f t="shared" si="6"/>
        <v>2594</v>
      </c>
      <c r="D84" s="77">
        <f t="shared" si="7"/>
        <v>142.3659578076331</v>
      </c>
      <c r="E84" s="18">
        <f t="shared" si="8"/>
        <v>2604.1226383872877</v>
      </c>
      <c r="F84" s="78">
        <f t="shared" si="9"/>
        <v>44.79367095682494</v>
      </c>
      <c r="G84" s="79">
        <f t="shared" si="10"/>
        <v>2604</v>
      </c>
      <c r="H84" s="80">
        <f t="shared" si="11"/>
        <v>322.3659578076331</v>
      </c>
    </row>
    <row r="85" spans="1:8" ht="12.75">
      <c r="A85" s="16">
        <f t="shared" si="13"/>
        <v>2613.999836360038</v>
      </c>
      <c r="B85" s="78">
        <f t="shared" si="5"/>
        <v>365.19023050387545</v>
      </c>
      <c r="C85" s="79">
        <f t="shared" si="6"/>
        <v>2613</v>
      </c>
      <c r="D85" s="82">
        <f t="shared" si="7"/>
        <v>99.73575080453884</v>
      </c>
      <c r="E85" s="74">
        <f t="shared" si="8"/>
        <v>2624.0042211456125</v>
      </c>
      <c r="F85" s="75">
        <f t="shared" si="9"/>
        <v>1.5417734349724697</v>
      </c>
      <c r="G85" s="76">
        <f t="shared" si="10"/>
        <v>2624</v>
      </c>
      <c r="H85" s="77">
        <f t="shared" si="11"/>
        <v>279.73575080453884</v>
      </c>
    </row>
    <row r="86" spans="1:8" ht="12.75">
      <c r="A86" s="74">
        <f t="shared" si="13"/>
        <v>2633.881419118363</v>
      </c>
      <c r="B86" s="75">
        <f aca="true" t="shared" si="14" ref="B86:B117">MOD(A86,1)*365.25</f>
        <v>321.938332982023</v>
      </c>
      <c r="C86" s="76">
        <f aca="true" t="shared" si="15" ref="C86:C117">FLOOR(A86,1)</f>
        <v>2633</v>
      </c>
      <c r="D86" s="77">
        <f aca="true" t="shared" si="16" ref="D86:D117">MOD((A86-264/365.25)*360,360)</f>
        <v>57.105543801561</v>
      </c>
      <c r="E86" s="18">
        <f aca="true" t="shared" si="17" ref="E86:E117">A86+$B$20</f>
        <v>2643.8858039039374</v>
      </c>
      <c r="F86" s="78">
        <f aca="true" t="shared" si="18" ref="F86:F117">MOD(E86,1)*365.25</f>
        <v>323.53987591312</v>
      </c>
      <c r="G86" s="79">
        <f aca="true" t="shared" si="19" ref="G86:G117">FLOOR(E86,1)</f>
        <v>2643</v>
      </c>
      <c r="H86" s="80">
        <f aca="true" t="shared" si="20" ref="H86:H117">MOD(D86+180,360)</f>
        <v>237.105543801561</v>
      </c>
    </row>
    <row r="87" spans="1:8" ht="12.75">
      <c r="A87" s="16">
        <f t="shared" si="13"/>
        <v>2653.7630018766877</v>
      </c>
      <c r="B87" s="78">
        <f t="shared" si="14"/>
        <v>278.6864354601705</v>
      </c>
      <c r="C87" s="79">
        <f t="shared" si="15"/>
        <v>2653</v>
      </c>
      <c r="D87" s="82">
        <f t="shared" si="16"/>
        <v>14.475336798466742</v>
      </c>
      <c r="E87" s="74">
        <f t="shared" si="17"/>
        <v>2663.767386662262</v>
      </c>
      <c r="F87" s="75">
        <f t="shared" si="18"/>
        <v>280.28797839126753</v>
      </c>
      <c r="G87" s="76">
        <f t="shared" si="19"/>
        <v>2663</v>
      </c>
      <c r="H87" s="77">
        <f t="shared" si="20"/>
        <v>194.47533679846674</v>
      </c>
    </row>
    <row r="88" spans="1:8" ht="12.75">
      <c r="A88" s="74">
        <f t="shared" si="13"/>
        <v>2673.6445846350125</v>
      </c>
      <c r="B88" s="75">
        <f t="shared" si="14"/>
        <v>235.43453793831804</v>
      </c>
      <c r="C88" s="76">
        <f t="shared" si="15"/>
        <v>2673</v>
      </c>
      <c r="D88" s="77">
        <f t="shared" si="16"/>
        <v>331.8451297953725</v>
      </c>
      <c r="E88" s="18">
        <f t="shared" si="17"/>
        <v>2683.648969420587</v>
      </c>
      <c r="F88" s="78">
        <f t="shared" si="18"/>
        <v>237.03608086941506</v>
      </c>
      <c r="G88" s="79">
        <f t="shared" si="19"/>
        <v>2683</v>
      </c>
      <c r="H88" s="80">
        <f t="shared" si="20"/>
        <v>151.8451297953725</v>
      </c>
    </row>
    <row r="89" spans="1:8" ht="12.75">
      <c r="A89" s="16">
        <f t="shared" si="13"/>
        <v>2693.5261673933373</v>
      </c>
      <c r="B89" s="78">
        <f t="shared" si="14"/>
        <v>192.18264041646557</v>
      </c>
      <c r="C89" s="79">
        <f t="shared" si="15"/>
        <v>2693</v>
      </c>
      <c r="D89" s="82">
        <f t="shared" si="16"/>
        <v>289.21492279239465</v>
      </c>
      <c r="E89" s="74">
        <f t="shared" si="17"/>
        <v>2703.530552178912</v>
      </c>
      <c r="F89" s="75">
        <f t="shared" si="18"/>
        <v>193.7841833475626</v>
      </c>
      <c r="G89" s="76">
        <f t="shared" si="19"/>
        <v>2703</v>
      </c>
      <c r="H89" s="77">
        <f t="shared" si="20"/>
        <v>109.21492279239465</v>
      </c>
    </row>
    <row r="90" spans="1:8" ht="12.75">
      <c r="A90" s="74">
        <f t="shared" si="13"/>
        <v>2713.407750151662</v>
      </c>
      <c r="B90" s="75">
        <f t="shared" si="14"/>
        <v>148.9307428946131</v>
      </c>
      <c r="C90" s="76">
        <f t="shared" si="15"/>
        <v>2713</v>
      </c>
      <c r="D90" s="77">
        <f t="shared" si="16"/>
        <v>246.5847157893004</v>
      </c>
      <c r="E90" s="18">
        <f t="shared" si="17"/>
        <v>2723.4121349372367</v>
      </c>
      <c r="F90" s="78">
        <f t="shared" si="18"/>
        <v>150.53228582571012</v>
      </c>
      <c r="G90" s="79">
        <f t="shared" si="19"/>
        <v>2723</v>
      </c>
      <c r="H90" s="80">
        <f t="shared" si="20"/>
        <v>66.58471578930039</v>
      </c>
    </row>
    <row r="91" spans="1:8" ht="12.75">
      <c r="A91" s="16">
        <f t="shared" si="13"/>
        <v>2733.289332909987</v>
      </c>
      <c r="B91" s="78">
        <f t="shared" si="14"/>
        <v>105.67884537276063</v>
      </c>
      <c r="C91" s="79">
        <f t="shared" si="15"/>
        <v>2733</v>
      </c>
      <c r="D91" s="82">
        <f t="shared" si="16"/>
        <v>203.95450878620613</v>
      </c>
      <c r="E91" s="74">
        <f t="shared" si="17"/>
        <v>2743.2937176955616</v>
      </c>
      <c r="F91" s="75">
        <f t="shared" si="18"/>
        <v>107.28038830385765</v>
      </c>
      <c r="G91" s="76">
        <f t="shared" si="19"/>
        <v>2743</v>
      </c>
      <c r="H91" s="77">
        <f t="shared" si="20"/>
        <v>23.954508786206134</v>
      </c>
    </row>
    <row r="92" spans="1:8" ht="12.75">
      <c r="A92" s="74">
        <f t="shared" si="13"/>
        <v>2753.170915668312</v>
      </c>
      <c r="B92" s="75">
        <f t="shared" si="14"/>
        <v>62.426947850908164</v>
      </c>
      <c r="C92" s="76">
        <f t="shared" si="15"/>
        <v>2753</v>
      </c>
      <c r="D92" s="77">
        <f t="shared" si="16"/>
        <v>161.3243017832283</v>
      </c>
      <c r="E92" s="18">
        <f t="shared" si="17"/>
        <v>2763.1753004538864</v>
      </c>
      <c r="F92" s="78">
        <f t="shared" si="18"/>
        <v>64.02849078200518</v>
      </c>
      <c r="G92" s="79">
        <f t="shared" si="19"/>
        <v>2763</v>
      </c>
      <c r="H92" s="80">
        <f t="shared" si="20"/>
        <v>341.3243017832283</v>
      </c>
    </row>
    <row r="93" spans="1:8" ht="12.75">
      <c r="A93" s="16">
        <f t="shared" si="13"/>
        <v>2773.0524984266367</v>
      </c>
      <c r="B93" s="78">
        <f t="shared" si="14"/>
        <v>19.175050329055694</v>
      </c>
      <c r="C93" s="79">
        <f t="shared" si="15"/>
        <v>2773</v>
      </c>
      <c r="D93" s="82">
        <f t="shared" si="16"/>
        <v>118.69409478013404</v>
      </c>
      <c r="E93" s="74">
        <f t="shared" si="17"/>
        <v>2783.0568832122112</v>
      </c>
      <c r="F93" s="75">
        <f t="shared" si="18"/>
        <v>20.77659326015271</v>
      </c>
      <c r="G93" s="76">
        <f t="shared" si="19"/>
        <v>2783</v>
      </c>
      <c r="H93" s="77">
        <f t="shared" si="20"/>
        <v>298.69409478013404</v>
      </c>
    </row>
    <row r="94" spans="1:8" ht="12.75">
      <c r="A94" s="74">
        <f t="shared" si="13"/>
        <v>2792.9340811849615</v>
      </c>
      <c r="B94" s="75">
        <f t="shared" si="14"/>
        <v>341.1731528072032</v>
      </c>
      <c r="C94" s="76">
        <f t="shared" si="15"/>
        <v>2792</v>
      </c>
      <c r="D94" s="77">
        <f t="shared" si="16"/>
        <v>76.06388777703978</v>
      </c>
      <c r="E94" s="18">
        <f t="shared" si="17"/>
        <v>2802.938465970536</v>
      </c>
      <c r="F94" s="78">
        <f t="shared" si="18"/>
        <v>342.77469573830024</v>
      </c>
      <c r="G94" s="79">
        <f t="shared" si="19"/>
        <v>2802</v>
      </c>
      <c r="H94" s="80">
        <f t="shared" si="20"/>
        <v>256.0638877770398</v>
      </c>
    </row>
    <row r="95" spans="1:8" ht="12.75">
      <c r="A95" s="16">
        <f t="shared" si="13"/>
        <v>2812.8156639432864</v>
      </c>
      <c r="B95" s="78">
        <f t="shared" si="14"/>
        <v>297.92125528535075</v>
      </c>
      <c r="C95" s="79">
        <f t="shared" si="15"/>
        <v>2812</v>
      </c>
      <c r="D95" s="82">
        <f t="shared" si="16"/>
        <v>33.433680773945525</v>
      </c>
      <c r="E95" s="74">
        <f t="shared" si="17"/>
        <v>2822.820048728861</v>
      </c>
      <c r="F95" s="75">
        <f t="shared" si="18"/>
        <v>299.52279821644777</v>
      </c>
      <c r="G95" s="76">
        <f t="shared" si="19"/>
        <v>2822</v>
      </c>
      <c r="H95" s="77">
        <f t="shared" si="20"/>
        <v>213.43368077394553</v>
      </c>
    </row>
    <row r="96" spans="1:8" ht="12.75">
      <c r="A96" s="74">
        <f t="shared" si="13"/>
        <v>2832.697246701611</v>
      </c>
      <c r="B96" s="75">
        <f t="shared" si="14"/>
        <v>254.66935776349828</v>
      </c>
      <c r="C96" s="76">
        <f t="shared" si="15"/>
        <v>2832</v>
      </c>
      <c r="D96" s="77">
        <f t="shared" si="16"/>
        <v>350.8034737709677</v>
      </c>
      <c r="E96" s="18">
        <f t="shared" si="17"/>
        <v>2842.7016314871858</v>
      </c>
      <c r="F96" s="78">
        <f t="shared" si="18"/>
        <v>256.2709006945953</v>
      </c>
      <c r="G96" s="79">
        <f t="shared" si="19"/>
        <v>2842</v>
      </c>
      <c r="H96" s="80">
        <f t="shared" si="20"/>
        <v>170.80347377096768</v>
      </c>
    </row>
    <row r="97" spans="1:8" ht="12.75">
      <c r="A97" s="16">
        <f t="shared" si="13"/>
        <v>2852.578829459936</v>
      </c>
      <c r="B97" s="78">
        <f t="shared" si="14"/>
        <v>211.4174602416458</v>
      </c>
      <c r="C97" s="79">
        <f t="shared" si="15"/>
        <v>2852</v>
      </c>
      <c r="D97" s="82">
        <f t="shared" si="16"/>
        <v>308.17326676787343</v>
      </c>
      <c r="E97" s="74">
        <f t="shared" si="17"/>
        <v>2862.5832142455106</v>
      </c>
      <c r="F97" s="75">
        <f t="shared" si="18"/>
        <v>213.01900317274283</v>
      </c>
      <c r="G97" s="76">
        <f t="shared" si="19"/>
        <v>2862</v>
      </c>
      <c r="H97" s="77">
        <f t="shared" si="20"/>
        <v>128.17326676787343</v>
      </c>
    </row>
    <row r="98" spans="1:8" ht="12.75">
      <c r="A98" s="74">
        <f t="shared" si="13"/>
        <v>2872.460412218261</v>
      </c>
      <c r="B98" s="75">
        <f t="shared" si="14"/>
        <v>168.16556271979334</v>
      </c>
      <c r="C98" s="76">
        <f t="shared" si="15"/>
        <v>2872</v>
      </c>
      <c r="D98" s="77">
        <f t="shared" si="16"/>
        <v>265.5430597647792</v>
      </c>
      <c r="E98" s="18">
        <f t="shared" si="17"/>
        <v>2882.4647970038354</v>
      </c>
      <c r="F98" s="78">
        <f t="shared" si="18"/>
        <v>169.76710565089036</v>
      </c>
      <c r="G98" s="79">
        <f t="shared" si="19"/>
        <v>2882</v>
      </c>
      <c r="H98" s="80">
        <f t="shared" si="20"/>
        <v>85.54305976477917</v>
      </c>
    </row>
    <row r="99" spans="1:8" ht="12.75">
      <c r="A99" s="16">
        <f t="shared" si="13"/>
        <v>2892.3419949765857</v>
      </c>
      <c r="B99" s="78">
        <f t="shared" si="14"/>
        <v>124.91366519794087</v>
      </c>
      <c r="C99" s="79">
        <f t="shared" si="15"/>
        <v>2892</v>
      </c>
      <c r="D99" s="82">
        <f t="shared" si="16"/>
        <v>222.91285276180133</v>
      </c>
      <c r="E99" s="74">
        <f t="shared" si="17"/>
        <v>2902.3463797621603</v>
      </c>
      <c r="F99" s="75">
        <f t="shared" si="18"/>
        <v>126.51520812903789</v>
      </c>
      <c r="G99" s="76">
        <f t="shared" si="19"/>
        <v>2902</v>
      </c>
      <c r="H99" s="77">
        <f t="shared" si="20"/>
        <v>42.91285276180133</v>
      </c>
    </row>
    <row r="100" spans="1:8" ht="12.75">
      <c r="A100" s="74">
        <f t="shared" si="13"/>
        <v>2912.2235777349106</v>
      </c>
      <c r="B100" s="75">
        <f t="shared" si="14"/>
        <v>81.6617676760884</v>
      </c>
      <c r="C100" s="76">
        <f t="shared" si="15"/>
        <v>2912</v>
      </c>
      <c r="D100" s="77">
        <f t="shared" si="16"/>
        <v>180.28264575870708</v>
      </c>
      <c r="E100" s="18">
        <f t="shared" si="17"/>
        <v>2922.227962520485</v>
      </c>
      <c r="F100" s="78">
        <f t="shared" si="18"/>
        <v>83.26331060718542</v>
      </c>
      <c r="G100" s="79">
        <f t="shared" si="19"/>
        <v>2922</v>
      </c>
      <c r="H100" s="80">
        <f t="shared" si="20"/>
        <v>0.2826457587070763</v>
      </c>
    </row>
    <row r="101" spans="1:8" ht="12.75">
      <c r="A101" s="16">
        <f t="shared" si="13"/>
        <v>2932.1051604932354</v>
      </c>
      <c r="B101" s="78">
        <f t="shared" si="14"/>
        <v>38.40987015423593</v>
      </c>
      <c r="C101" s="79">
        <f t="shared" si="15"/>
        <v>2932</v>
      </c>
      <c r="D101" s="82">
        <f t="shared" si="16"/>
        <v>137.65243875561282</v>
      </c>
      <c r="E101" s="74">
        <f t="shared" si="17"/>
        <v>2942.10954527881</v>
      </c>
      <c r="F101" s="75">
        <f t="shared" si="18"/>
        <v>40.01141308533295</v>
      </c>
      <c r="G101" s="76">
        <f t="shared" si="19"/>
        <v>2942</v>
      </c>
      <c r="H101" s="77">
        <f t="shared" si="20"/>
        <v>317.6524387556128</v>
      </c>
    </row>
    <row r="102" spans="1:8" ht="12.75">
      <c r="A102" s="74">
        <f t="shared" si="13"/>
        <v>2951.9867432515603</v>
      </c>
      <c r="B102" s="75">
        <f t="shared" si="14"/>
        <v>360.40797263238346</v>
      </c>
      <c r="C102" s="76">
        <f t="shared" si="15"/>
        <v>2951</v>
      </c>
      <c r="D102" s="77">
        <f t="shared" si="16"/>
        <v>95.02223175251856</v>
      </c>
      <c r="E102" s="18">
        <f t="shared" si="17"/>
        <v>2961.991128037135</v>
      </c>
      <c r="F102" s="78">
        <f t="shared" si="18"/>
        <v>362.0095155634805</v>
      </c>
      <c r="G102" s="79">
        <f t="shared" si="19"/>
        <v>2961</v>
      </c>
      <c r="H102" s="80">
        <f t="shared" si="20"/>
        <v>275.02223175251856</v>
      </c>
    </row>
    <row r="103" spans="1:8" ht="12.75">
      <c r="A103" s="16">
        <f t="shared" si="13"/>
        <v>2971.868326009885</v>
      </c>
      <c r="B103" s="78">
        <f t="shared" si="14"/>
        <v>317.156075110531</v>
      </c>
      <c r="C103" s="79">
        <f t="shared" si="15"/>
        <v>2971</v>
      </c>
      <c r="D103" s="82">
        <f t="shared" si="16"/>
        <v>52.39202474942431</v>
      </c>
      <c r="E103" s="74">
        <f t="shared" si="17"/>
        <v>2981.8727107954596</v>
      </c>
      <c r="F103" s="75">
        <f t="shared" si="18"/>
        <v>318.757618041628</v>
      </c>
      <c r="G103" s="76">
        <f t="shared" si="19"/>
        <v>2981</v>
      </c>
      <c r="H103" s="77">
        <f t="shared" si="20"/>
        <v>232.3920247494243</v>
      </c>
    </row>
    <row r="104" spans="1:8" ht="12.75">
      <c r="A104" s="74">
        <f t="shared" si="13"/>
        <v>2991.74990876821</v>
      </c>
      <c r="B104" s="75">
        <f t="shared" si="14"/>
        <v>273.9041775886785</v>
      </c>
      <c r="C104" s="76">
        <f t="shared" si="15"/>
        <v>2991</v>
      </c>
      <c r="D104" s="77">
        <f t="shared" si="16"/>
        <v>9.761817746562883</v>
      </c>
      <c r="E104" s="18">
        <f t="shared" si="17"/>
        <v>3001.7542935537845</v>
      </c>
      <c r="F104" s="78">
        <f t="shared" si="18"/>
        <v>275.50572051977554</v>
      </c>
      <c r="G104" s="79">
        <f t="shared" si="19"/>
        <v>3001</v>
      </c>
      <c r="H104" s="80">
        <f t="shared" si="20"/>
        <v>189.76181774656288</v>
      </c>
    </row>
    <row r="105" spans="1:8" ht="12.75">
      <c r="A105" s="16">
        <f t="shared" si="13"/>
        <v>3011.631491526535</v>
      </c>
      <c r="B105" s="78">
        <f t="shared" si="14"/>
        <v>230.65228006682605</v>
      </c>
      <c r="C105" s="79">
        <f t="shared" si="15"/>
        <v>3011</v>
      </c>
      <c r="D105" s="82">
        <f t="shared" si="16"/>
        <v>327.1316107434686</v>
      </c>
      <c r="E105" s="74">
        <f t="shared" si="17"/>
        <v>3021.6358763121093</v>
      </c>
      <c r="F105" s="75">
        <f t="shared" si="18"/>
        <v>232.25382299792307</v>
      </c>
      <c r="G105" s="76">
        <f t="shared" si="19"/>
        <v>3021</v>
      </c>
      <c r="H105" s="77">
        <f t="shared" si="20"/>
        <v>147.13161074346863</v>
      </c>
    </row>
    <row r="106" spans="1:8" ht="12.75">
      <c r="A106" s="74">
        <f t="shared" si="13"/>
        <v>3031.5130742848596</v>
      </c>
      <c r="B106" s="75">
        <f t="shared" si="14"/>
        <v>187.40038254497358</v>
      </c>
      <c r="C106" s="76">
        <f t="shared" si="15"/>
        <v>3031</v>
      </c>
      <c r="D106" s="77">
        <f t="shared" si="16"/>
        <v>284.50140374037437</v>
      </c>
      <c r="E106" s="18">
        <f t="shared" si="17"/>
        <v>3041.517459070434</v>
      </c>
      <c r="F106" s="78">
        <f t="shared" si="18"/>
        <v>189.0019254760706</v>
      </c>
      <c r="G106" s="79">
        <f t="shared" si="19"/>
        <v>3041</v>
      </c>
      <c r="H106" s="80">
        <f t="shared" si="20"/>
        <v>104.50140374037437</v>
      </c>
    </row>
    <row r="107" spans="1:8" ht="12.75">
      <c r="A107" s="16">
        <f t="shared" si="13"/>
        <v>3051.3946570431845</v>
      </c>
      <c r="B107" s="78">
        <f t="shared" si="14"/>
        <v>144.1484850231211</v>
      </c>
      <c r="C107" s="79">
        <f t="shared" si="15"/>
        <v>3051</v>
      </c>
      <c r="D107" s="82">
        <f t="shared" si="16"/>
        <v>241.87119673728012</v>
      </c>
      <c r="E107" s="74">
        <f t="shared" si="17"/>
        <v>3061.399041828759</v>
      </c>
      <c r="F107" s="75">
        <f t="shared" si="18"/>
        <v>145.75002795421813</v>
      </c>
      <c r="G107" s="76">
        <f t="shared" si="19"/>
        <v>3061</v>
      </c>
      <c r="H107" s="77">
        <f t="shared" si="20"/>
        <v>61.871196737280115</v>
      </c>
    </row>
    <row r="108" spans="1:8" ht="12.75">
      <c r="A108" s="74">
        <f t="shared" si="13"/>
        <v>3071.2762398015093</v>
      </c>
      <c r="B108" s="75">
        <f t="shared" si="14"/>
        <v>100.89658750126864</v>
      </c>
      <c r="C108" s="76">
        <f t="shared" si="15"/>
        <v>3071</v>
      </c>
      <c r="D108" s="77">
        <f t="shared" si="16"/>
        <v>199.24098973418586</v>
      </c>
      <c r="E108" s="18">
        <f t="shared" si="17"/>
        <v>3081.280624587084</v>
      </c>
      <c r="F108" s="78">
        <f t="shared" si="18"/>
        <v>102.49813043236566</v>
      </c>
      <c r="G108" s="79">
        <f t="shared" si="19"/>
        <v>3081</v>
      </c>
      <c r="H108" s="80">
        <f t="shared" si="20"/>
        <v>19.24098973418586</v>
      </c>
    </row>
    <row r="109" spans="1:8" ht="12.75">
      <c r="A109" s="16">
        <f t="shared" si="13"/>
        <v>3091.157822559834</v>
      </c>
      <c r="B109" s="78">
        <f t="shared" si="14"/>
        <v>57.64468997941617</v>
      </c>
      <c r="C109" s="79">
        <f t="shared" si="15"/>
        <v>3091</v>
      </c>
      <c r="D109" s="82">
        <f t="shared" si="16"/>
        <v>156.6107827310916</v>
      </c>
      <c r="E109" s="74">
        <f t="shared" si="17"/>
        <v>3101.1622073454087</v>
      </c>
      <c r="F109" s="75">
        <f t="shared" si="18"/>
        <v>59.246232910513186</v>
      </c>
      <c r="G109" s="76">
        <f t="shared" si="19"/>
        <v>3101</v>
      </c>
      <c r="H109" s="77">
        <f t="shared" si="20"/>
        <v>336.6107827310916</v>
      </c>
    </row>
    <row r="110" spans="1:8" ht="12.75">
      <c r="A110" s="74">
        <f t="shared" si="13"/>
        <v>3111.039405318159</v>
      </c>
      <c r="B110" s="75">
        <f t="shared" si="14"/>
        <v>14.3927924575637</v>
      </c>
      <c r="C110" s="76">
        <f t="shared" si="15"/>
        <v>3111</v>
      </c>
      <c r="D110" s="77">
        <f t="shared" si="16"/>
        <v>113.98057572823018</v>
      </c>
      <c r="E110" s="18">
        <f t="shared" si="17"/>
        <v>3121.0437901037335</v>
      </c>
      <c r="F110" s="78">
        <f t="shared" si="18"/>
        <v>15.994335388660716</v>
      </c>
      <c r="G110" s="79">
        <f t="shared" si="19"/>
        <v>3121</v>
      </c>
      <c r="H110" s="80">
        <f t="shared" si="20"/>
        <v>293.9805757282302</v>
      </c>
    </row>
    <row r="111" spans="1:8" ht="12.75">
      <c r="A111" s="16">
        <f t="shared" si="13"/>
        <v>3130.920988076484</v>
      </c>
      <c r="B111" s="78">
        <f t="shared" si="14"/>
        <v>336.39089493571123</v>
      </c>
      <c r="C111" s="79">
        <f t="shared" si="15"/>
        <v>3130</v>
      </c>
      <c r="D111" s="82">
        <f t="shared" si="16"/>
        <v>71.35036872513592</v>
      </c>
      <c r="E111" s="74">
        <f t="shared" si="17"/>
        <v>3140.9253728620583</v>
      </c>
      <c r="F111" s="75">
        <f t="shared" si="18"/>
        <v>337.99243786680825</v>
      </c>
      <c r="G111" s="76">
        <f t="shared" si="19"/>
        <v>3140</v>
      </c>
      <c r="H111" s="77">
        <f t="shared" si="20"/>
        <v>251.35036872513592</v>
      </c>
    </row>
    <row r="112" spans="1:8" ht="12.75">
      <c r="A112" s="74">
        <f t="shared" si="13"/>
        <v>3150.8025708348086</v>
      </c>
      <c r="B112" s="75">
        <f t="shared" si="14"/>
        <v>293.13899741385876</v>
      </c>
      <c r="C112" s="76">
        <f t="shared" si="15"/>
        <v>3150</v>
      </c>
      <c r="D112" s="77">
        <f t="shared" si="16"/>
        <v>28.720161722041667</v>
      </c>
      <c r="E112" s="18">
        <f t="shared" si="17"/>
        <v>3160.806955620383</v>
      </c>
      <c r="F112" s="78">
        <f t="shared" si="18"/>
        <v>294.7405403449558</v>
      </c>
      <c r="G112" s="79">
        <f t="shared" si="19"/>
        <v>3160</v>
      </c>
      <c r="H112" s="80">
        <f t="shared" si="20"/>
        <v>208.72016172204167</v>
      </c>
    </row>
    <row r="113" spans="1:8" ht="12.75">
      <c r="A113" s="16">
        <f t="shared" si="13"/>
        <v>3170.6841535931335</v>
      </c>
      <c r="B113" s="78">
        <f t="shared" si="14"/>
        <v>249.8870998920063</v>
      </c>
      <c r="C113" s="79">
        <f t="shared" si="15"/>
        <v>3170</v>
      </c>
      <c r="D113" s="82">
        <f t="shared" si="16"/>
        <v>346.0899547189474</v>
      </c>
      <c r="E113" s="74">
        <f t="shared" si="17"/>
        <v>3180.688538378708</v>
      </c>
      <c r="F113" s="75">
        <f t="shared" si="18"/>
        <v>251.4886428231033</v>
      </c>
      <c r="G113" s="76">
        <f t="shared" si="19"/>
        <v>3180</v>
      </c>
      <c r="H113" s="77">
        <f t="shared" si="20"/>
        <v>166.0899547189474</v>
      </c>
    </row>
    <row r="114" spans="1:8" ht="12.75">
      <c r="A114" s="74">
        <f t="shared" si="13"/>
        <v>3190.5657363514583</v>
      </c>
      <c r="B114" s="75">
        <f t="shared" si="14"/>
        <v>206.63520237015382</v>
      </c>
      <c r="C114" s="76">
        <f t="shared" si="15"/>
        <v>3190</v>
      </c>
      <c r="D114" s="77">
        <f t="shared" si="16"/>
        <v>303.45974771585315</v>
      </c>
      <c r="E114" s="18">
        <f t="shared" si="17"/>
        <v>3200.570121137033</v>
      </c>
      <c r="F114" s="78">
        <f t="shared" si="18"/>
        <v>208.23674530125083</v>
      </c>
      <c r="G114" s="79">
        <f t="shared" si="19"/>
        <v>3200</v>
      </c>
      <c r="H114" s="80">
        <f t="shared" si="20"/>
        <v>123.45974771585315</v>
      </c>
    </row>
    <row r="115" spans="1:8" ht="12.75">
      <c r="A115" s="16">
        <f aca="true" t="shared" si="21" ref="A115:A178">A114+$B$34</f>
        <v>3210.447319109783</v>
      </c>
      <c r="B115" s="78">
        <f t="shared" si="14"/>
        <v>163.38330484830135</v>
      </c>
      <c r="C115" s="79">
        <f t="shared" si="15"/>
        <v>3210</v>
      </c>
      <c r="D115" s="82">
        <f t="shared" si="16"/>
        <v>260.8295407127589</v>
      </c>
      <c r="E115" s="74">
        <f t="shared" si="17"/>
        <v>3220.4517038953577</v>
      </c>
      <c r="F115" s="75">
        <f t="shared" si="18"/>
        <v>164.98484777939836</v>
      </c>
      <c r="G115" s="76">
        <f t="shared" si="19"/>
        <v>3220</v>
      </c>
      <c r="H115" s="77">
        <f t="shared" si="20"/>
        <v>80.8295407127589</v>
      </c>
    </row>
    <row r="116" spans="1:8" ht="12.75">
      <c r="A116" s="74">
        <f t="shared" si="21"/>
        <v>3230.328901868108</v>
      </c>
      <c r="B116" s="75">
        <f t="shared" si="14"/>
        <v>120.13140732644888</v>
      </c>
      <c r="C116" s="76">
        <f t="shared" si="15"/>
        <v>3230</v>
      </c>
      <c r="D116" s="77">
        <f t="shared" si="16"/>
        <v>218.19933370966464</v>
      </c>
      <c r="E116" s="18">
        <f t="shared" si="17"/>
        <v>3240.3332866536825</v>
      </c>
      <c r="F116" s="78">
        <f t="shared" si="18"/>
        <v>121.7329502575459</v>
      </c>
      <c r="G116" s="79">
        <f t="shared" si="19"/>
        <v>3240</v>
      </c>
      <c r="H116" s="80">
        <f t="shared" si="20"/>
        <v>38.19933370966464</v>
      </c>
    </row>
    <row r="117" spans="1:8" ht="12.75">
      <c r="A117" s="16">
        <f t="shared" si="21"/>
        <v>3250.210484626433</v>
      </c>
      <c r="B117" s="78">
        <f t="shared" si="14"/>
        <v>76.87950980459641</v>
      </c>
      <c r="C117" s="79">
        <f t="shared" si="15"/>
        <v>3250</v>
      </c>
      <c r="D117" s="82">
        <f t="shared" si="16"/>
        <v>175.56912670680322</v>
      </c>
      <c r="E117" s="74">
        <f t="shared" si="17"/>
        <v>3260.2148694120074</v>
      </c>
      <c r="F117" s="75">
        <f t="shared" si="18"/>
        <v>78.48105273569342</v>
      </c>
      <c r="G117" s="76">
        <f t="shared" si="19"/>
        <v>3260</v>
      </c>
      <c r="H117" s="77">
        <f t="shared" si="20"/>
        <v>355.5691267068032</v>
      </c>
    </row>
    <row r="118" spans="1:8" ht="12.75">
      <c r="A118" s="74">
        <f t="shared" si="21"/>
        <v>3270.0920673847577</v>
      </c>
      <c r="B118" s="75">
        <f aca="true" t="shared" si="22" ref="B118:B149">MOD(A118,1)*365.25</f>
        <v>33.62761228274394</v>
      </c>
      <c r="C118" s="76">
        <f aca="true" t="shared" si="23" ref="C118:C149">FLOOR(A118,1)</f>
        <v>3270</v>
      </c>
      <c r="D118" s="77">
        <f aca="true" t="shared" si="24" ref="D118:D149">MOD((A118-264/365.25)*360,360)</f>
        <v>132.93891970370896</v>
      </c>
      <c r="E118" s="18">
        <f aca="true" t="shared" si="25" ref="E118:E149">A118+$B$20</f>
        <v>3280.096452170332</v>
      </c>
      <c r="F118" s="78">
        <f aca="true" t="shared" si="26" ref="F118:F149">MOD(E118,1)*365.25</f>
        <v>35.229155213840954</v>
      </c>
      <c r="G118" s="79">
        <f aca="true" t="shared" si="27" ref="G118:G149">FLOOR(E118,1)</f>
        <v>3280</v>
      </c>
      <c r="H118" s="80">
        <f aca="true" t="shared" si="28" ref="H118:H149">MOD(D118+180,360)</f>
        <v>312.93891970370896</v>
      </c>
    </row>
    <row r="119" spans="1:8" ht="12.75">
      <c r="A119" s="16">
        <f t="shared" si="21"/>
        <v>3289.9736501430825</v>
      </c>
      <c r="B119" s="78">
        <f t="shared" si="22"/>
        <v>355.62571476089147</v>
      </c>
      <c r="C119" s="79">
        <f t="shared" si="23"/>
        <v>3289</v>
      </c>
      <c r="D119" s="82">
        <f t="shared" si="24"/>
        <v>90.3087127006147</v>
      </c>
      <c r="E119" s="74">
        <f t="shared" si="25"/>
        <v>3299.978034928657</v>
      </c>
      <c r="F119" s="75">
        <f t="shared" si="26"/>
        <v>357.2272576919885</v>
      </c>
      <c r="G119" s="76">
        <f t="shared" si="27"/>
        <v>3299</v>
      </c>
      <c r="H119" s="77">
        <f t="shared" si="28"/>
        <v>270.3087127006147</v>
      </c>
    </row>
    <row r="120" spans="1:8" ht="12.75">
      <c r="A120" s="74">
        <f t="shared" si="21"/>
        <v>3309.8552329014074</v>
      </c>
      <c r="B120" s="75">
        <f t="shared" si="22"/>
        <v>312.373817239039</v>
      </c>
      <c r="C120" s="76">
        <f t="shared" si="23"/>
        <v>3309</v>
      </c>
      <c r="D120" s="77">
        <f t="shared" si="24"/>
        <v>47.67850569752045</v>
      </c>
      <c r="E120" s="18">
        <f t="shared" si="25"/>
        <v>3319.859617686982</v>
      </c>
      <c r="F120" s="78">
        <f t="shared" si="26"/>
        <v>313.975360170136</v>
      </c>
      <c r="G120" s="79">
        <f t="shared" si="27"/>
        <v>3319</v>
      </c>
      <c r="H120" s="80">
        <f t="shared" si="28"/>
        <v>227.67850569752045</v>
      </c>
    </row>
    <row r="121" spans="1:8" ht="12.75">
      <c r="A121" s="16">
        <f t="shared" si="21"/>
        <v>3329.736815659732</v>
      </c>
      <c r="B121" s="78">
        <f t="shared" si="22"/>
        <v>269.12191971718653</v>
      </c>
      <c r="C121" s="79">
        <f t="shared" si="23"/>
        <v>3329</v>
      </c>
      <c r="D121" s="82">
        <f t="shared" si="24"/>
        <v>5.048298694426194</v>
      </c>
      <c r="E121" s="74">
        <f t="shared" si="25"/>
        <v>3339.7412004453067</v>
      </c>
      <c r="F121" s="75">
        <f t="shared" si="26"/>
        <v>270.72346264828354</v>
      </c>
      <c r="G121" s="76">
        <f t="shared" si="27"/>
        <v>3339</v>
      </c>
      <c r="H121" s="77">
        <f t="shared" si="28"/>
        <v>185.0482986944262</v>
      </c>
    </row>
    <row r="122" spans="1:8" ht="12.75">
      <c r="A122" s="74">
        <f t="shared" si="21"/>
        <v>3349.618398418057</v>
      </c>
      <c r="B122" s="75">
        <f t="shared" si="22"/>
        <v>225.87002219533406</v>
      </c>
      <c r="C122" s="76">
        <f t="shared" si="23"/>
        <v>3349</v>
      </c>
      <c r="D122" s="77">
        <f t="shared" si="24"/>
        <v>322.41809169133194</v>
      </c>
      <c r="E122" s="18">
        <f t="shared" si="25"/>
        <v>3359.6227832036316</v>
      </c>
      <c r="F122" s="78">
        <f t="shared" si="26"/>
        <v>227.47156512643107</v>
      </c>
      <c r="G122" s="79">
        <f t="shared" si="27"/>
        <v>3359</v>
      </c>
      <c r="H122" s="80">
        <f t="shared" si="28"/>
        <v>142.41809169133194</v>
      </c>
    </row>
    <row r="123" spans="1:8" ht="12.75">
      <c r="A123" s="16">
        <f t="shared" si="21"/>
        <v>3369.499981176382</v>
      </c>
      <c r="B123" s="78">
        <f t="shared" si="22"/>
        <v>182.6181246734816</v>
      </c>
      <c r="C123" s="79">
        <f t="shared" si="23"/>
        <v>3369</v>
      </c>
      <c r="D123" s="82">
        <f t="shared" si="24"/>
        <v>279.7878846884705</v>
      </c>
      <c r="E123" s="74">
        <f t="shared" si="25"/>
        <v>3379.5043659619564</v>
      </c>
      <c r="F123" s="75">
        <f t="shared" si="26"/>
        <v>184.2196676045786</v>
      </c>
      <c r="G123" s="76">
        <f t="shared" si="27"/>
        <v>3379</v>
      </c>
      <c r="H123" s="77">
        <f t="shared" si="28"/>
        <v>99.78788468847051</v>
      </c>
    </row>
    <row r="124" spans="1:8" ht="12.75">
      <c r="A124" s="74">
        <f t="shared" si="21"/>
        <v>3389.3815639347067</v>
      </c>
      <c r="B124" s="75">
        <f t="shared" si="22"/>
        <v>139.36622715162912</v>
      </c>
      <c r="C124" s="76">
        <f t="shared" si="23"/>
        <v>3389</v>
      </c>
      <c r="D124" s="77">
        <f t="shared" si="24"/>
        <v>237.15767768537626</v>
      </c>
      <c r="E124" s="18">
        <f t="shared" si="25"/>
        <v>3399.3859487202812</v>
      </c>
      <c r="F124" s="78">
        <f t="shared" si="26"/>
        <v>140.96777008272613</v>
      </c>
      <c r="G124" s="79">
        <f t="shared" si="27"/>
        <v>3399</v>
      </c>
      <c r="H124" s="80">
        <f t="shared" si="28"/>
        <v>57.15767768537626</v>
      </c>
    </row>
    <row r="125" spans="1:8" ht="12.75">
      <c r="A125" s="16">
        <f t="shared" si="21"/>
        <v>3409.2631466930316</v>
      </c>
      <c r="B125" s="78">
        <f t="shared" si="22"/>
        <v>96.11432962977665</v>
      </c>
      <c r="C125" s="79">
        <f t="shared" si="23"/>
        <v>3409</v>
      </c>
      <c r="D125" s="82">
        <f t="shared" si="24"/>
        <v>194.527470682282</v>
      </c>
      <c r="E125" s="74">
        <f t="shared" si="25"/>
        <v>3419.267531478606</v>
      </c>
      <c r="F125" s="75">
        <f t="shared" si="26"/>
        <v>97.71587256087366</v>
      </c>
      <c r="G125" s="76">
        <f t="shared" si="27"/>
        <v>3419</v>
      </c>
      <c r="H125" s="77">
        <f t="shared" si="28"/>
        <v>14.527470682282</v>
      </c>
    </row>
    <row r="126" spans="1:8" ht="12.75">
      <c r="A126" s="74">
        <f t="shared" si="21"/>
        <v>3429.1447294513564</v>
      </c>
      <c r="B126" s="75">
        <f t="shared" si="22"/>
        <v>52.86243210792418</v>
      </c>
      <c r="C126" s="76">
        <f t="shared" si="23"/>
        <v>3429</v>
      </c>
      <c r="D126" s="77">
        <f t="shared" si="24"/>
        <v>151.89726367918774</v>
      </c>
      <c r="E126" s="18">
        <f t="shared" si="25"/>
        <v>3439.149114236931</v>
      </c>
      <c r="F126" s="78">
        <f t="shared" si="26"/>
        <v>54.46397503902119</v>
      </c>
      <c r="G126" s="79">
        <f t="shared" si="27"/>
        <v>3439</v>
      </c>
      <c r="H126" s="80">
        <f t="shared" si="28"/>
        <v>331.89726367918774</v>
      </c>
    </row>
    <row r="127" spans="1:8" ht="12.75">
      <c r="A127" s="16">
        <f t="shared" si="21"/>
        <v>3449.0263122096812</v>
      </c>
      <c r="B127" s="78">
        <f t="shared" si="22"/>
        <v>9.610534586071708</v>
      </c>
      <c r="C127" s="79">
        <f t="shared" si="23"/>
        <v>3449</v>
      </c>
      <c r="D127" s="82">
        <f t="shared" si="24"/>
        <v>109.26705667609349</v>
      </c>
      <c r="E127" s="74">
        <f t="shared" si="25"/>
        <v>3459.0306969952558</v>
      </c>
      <c r="F127" s="75">
        <f t="shared" si="26"/>
        <v>11.212077517168723</v>
      </c>
      <c r="G127" s="76">
        <f t="shared" si="27"/>
        <v>3459</v>
      </c>
      <c r="H127" s="77">
        <f t="shared" si="28"/>
        <v>289.2670566760935</v>
      </c>
    </row>
    <row r="128" spans="1:8" ht="12.75">
      <c r="A128" s="74">
        <f t="shared" si="21"/>
        <v>3468.907894968006</v>
      </c>
      <c r="B128" s="75">
        <f t="shared" si="22"/>
        <v>331.60863706421924</v>
      </c>
      <c r="C128" s="76">
        <f t="shared" si="23"/>
        <v>3468</v>
      </c>
      <c r="D128" s="77">
        <f t="shared" si="24"/>
        <v>66.63684967299923</v>
      </c>
      <c r="E128" s="18">
        <f t="shared" si="25"/>
        <v>3478.9122797535806</v>
      </c>
      <c r="F128" s="78">
        <f t="shared" si="26"/>
        <v>333.21017999531625</v>
      </c>
      <c r="G128" s="79">
        <f t="shared" si="27"/>
        <v>3478</v>
      </c>
      <c r="H128" s="80">
        <f t="shared" si="28"/>
        <v>246.63684967299923</v>
      </c>
    </row>
    <row r="129" spans="1:8" ht="12.75">
      <c r="A129" s="16">
        <f t="shared" si="21"/>
        <v>3488.789477726331</v>
      </c>
      <c r="B129" s="78">
        <f t="shared" si="22"/>
        <v>288.35673954236677</v>
      </c>
      <c r="C129" s="79">
        <f t="shared" si="23"/>
        <v>3488</v>
      </c>
      <c r="D129" s="82">
        <f t="shared" si="24"/>
        <v>24.006642670137808</v>
      </c>
      <c r="E129" s="74">
        <f t="shared" si="25"/>
        <v>3498.7938625119054</v>
      </c>
      <c r="F129" s="75">
        <f t="shared" si="26"/>
        <v>289.9582824734638</v>
      </c>
      <c r="G129" s="76">
        <f t="shared" si="27"/>
        <v>3498</v>
      </c>
      <c r="H129" s="77">
        <f t="shared" si="28"/>
        <v>204.0066426701378</v>
      </c>
    </row>
    <row r="130" spans="1:8" ht="12.75">
      <c r="A130" s="74">
        <f t="shared" si="21"/>
        <v>3508.6710604846558</v>
      </c>
      <c r="B130" s="75">
        <f t="shared" si="22"/>
        <v>245.1048420205143</v>
      </c>
      <c r="C130" s="76">
        <f t="shared" si="23"/>
        <v>3508</v>
      </c>
      <c r="D130" s="77">
        <f t="shared" si="24"/>
        <v>341.37643566704355</v>
      </c>
      <c r="E130" s="18">
        <f t="shared" si="25"/>
        <v>3518.6754452702303</v>
      </c>
      <c r="F130" s="78">
        <f t="shared" si="26"/>
        <v>246.7063849516113</v>
      </c>
      <c r="G130" s="79">
        <f t="shared" si="27"/>
        <v>3518</v>
      </c>
      <c r="H130" s="80">
        <f t="shared" si="28"/>
        <v>161.37643566704355</v>
      </c>
    </row>
    <row r="131" spans="1:8" ht="12.75">
      <c r="A131" s="16">
        <f t="shared" si="21"/>
        <v>3528.5526432429806</v>
      </c>
      <c r="B131" s="78">
        <f t="shared" si="22"/>
        <v>201.85294449866183</v>
      </c>
      <c r="C131" s="79">
        <f t="shared" si="23"/>
        <v>3528</v>
      </c>
      <c r="D131" s="82">
        <f t="shared" si="24"/>
        <v>298.7462286639493</v>
      </c>
      <c r="E131" s="74">
        <f t="shared" si="25"/>
        <v>3538.557028028555</v>
      </c>
      <c r="F131" s="75">
        <f t="shared" si="26"/>
        <v>203.45448742975884</v>
      </c>
      <c r="G131" s="76">
        <f t="shared" si="27"/>
        <v>3538</v>
      </c>
      <c r="H131" s="77">
        <f t="shared" si="28"/>
        <v>118.7462286639493</v>
      </c>
    </row>
    <row r="132" spans="1:8" ht="12.75">
      <c r="A132" s="74">
        <f t="shared" si="21"/>
        <v>3548.4342260013054</v>
      </c>
      <c r="B132" s="75">
        <f t="shared" si="22"/>
        <v>158.60104697680936</v>
      </c>
      <c r="C132" s="76">
        <f t="shared" si="23"/>
        <v>3548</v>
      </c>
      <c r="D132" s="77">
        <f t="shared" si="24"/>
        <v>256.11602166085504</v>
      </c>
      <c r="E132" s="18">
        <f t="shared" si="25"/>
        <v>3558.43861078688</v>
      </c>
      <c r="F132" s="78">
        <f t="shared" si="26"/>
        <v>160.20258990790637</v>
      </c>
      <c r="G132" s="79">
        <f t="shared" si="27"/>
        <v>3558</v>
      </c>
      <c r="H132" s="80">
        <f t="shared" si="28"/>
        <v>76.11602166085504</v>
      </c>
    </row>
    <row r="133" spans="1:8" ht="12.75">
      <c r="A133" s="16">
        <f t="shared" si="21"/>
        <v>3568.3158087596303</v>
      </c>
      <c r="B133" s="78">
        <f t="shared" si="22"/>
        <v>115.34914945495689</v>
      </c>
      <c r="C133" s="79">
        <f t="shared" si="23"/>
        <v>3568</v>
      </c>
      <c r="D133" s="82">
        <f t="shared" si="24"/>
        <v>213.48581465776078</v>
      </c>
      <c r="E133" s="74">
        <f t="shared" si="25"/>
        <v>3578.320193545205</v>
      </c>
      <c r="F133" s="75">
        <f t="shared" si="26"/>
        <v>116.9506923860539</v>
      </c>
      <c r="G133" s="76">
        <f t="shared" si="27"/>
        <v>3578</v>
      </c>
      <c r="H133" s="77">
        <f t="shared" si="28"/>
        <v>33.485814657760784</v>
      </c>
    </row>
    <row r="134" spans="1:8" ht="12.75">
      <c r="A134" s="74">
        <f t="shared" si="21"/>
        <v>3588.197391517955</v>
      </c>
      <c r="B134" s="75">
        <f t="shared" si="22"/>
        <v>72.09725193310442</v>
      </c>
      <c r="C134" s="76">
        <f t="shared" si="23"/>
        <v>3588</v>
      </c>
      <c r="D134" s="77">
        <f t="shared" si="24"/>
        <v>170.85560765466653</v>
      </c>
      <c r="E134" s="18">
        <f t="shared" si="25"/>
        <v>3598.2017763035296</v>
      </c>
      <c r="F134" s="78">
        <f t="shared" si="26"/>
        <v>73.69879486420143</v>
      </c>
      <c r="G134" s="79">
        <f t="shared" si="27"/>
        <v>3598</v>
      </c>
      <c r="H134" s="80">
        <f t="shared" si="28"/>
        <v>350.8556076546665</v>
      </c>
    </row>
    <row r="135" spans="1:8" ht="12.75">
      <c r="A135" s="16">
        <f t="shared" si="21"/>
        <v>3608.07897427628</v>
      </c>
      <c r="B135" s="78">
        <f t="shared" si="22"/>
        <v>28.845354411251947</v>
      </c>
      <c r="C135" s="79">
        <f t="shared" si="23"/>
        <v>3608</v>
      </c>
      <c r="D135" s="82">
        <f t="shared" si="24"/>
        <v>128.22540065157227</v>
      </c>
      <c r="E135" s="74">
        <f t="shared" si="25"/>
        <v>3618.0833590618545</v>
      </c>
      <c r="F135" s="75">
        <f t="shared" si="26"/>
        <v>30.44689734234896</v>
      </c>
      <c r="G135" s="76">
        <f t="shared" si="27"/>
        <v>3618</v>
      </c>
      <c r="H135" s="77">
        <f t="shared" si="28"/>
        <v>308.2254006515723</v>
      </c>
    </row>
    <row r="136" spans="1:8" ht="12.75">
      <c r="A136" s="74">
        <f t="shared" si="21"/>
        <v>3627.960557034605</v>
      </c>
      <c r="B136" s="75">
        <f t="shared" si="22"/>
        <v>350.8434568893995</v>
      </c>
      <c r="C136" s="76">
        <f t="shared" si="23"/>
        <v>3627</v>
      </c>
      <c r="D136" s="77">
        <f t="shared" si="24"/>
        <v>85.59519364871085</v>
      </c>
      <c r="E136" s="18">
        <f t="shared" si="25"/>
        <v>3637.9649418201793</v>
      </c>
      <c r="F136" s="78">
        <f t="shared" si="26"/>
        <v>352.4449998204965</v>
      </c>
      <c r="G136" s="79">
        <f t="shared" si="27"/>
        <v>3637</v>
      </c>
      <c r="H136" s="80">
        <f t="shared" si="28"/>
        <v>265.59519364871085</v>
      </c>
    </row>
    <row r="137" spans="1:8" ht="12.75">
      <c r="A137" s="16">
        <f t="shared" si="21"/>
        <v>3647.8421397929296</v>
      </c>
      <c r="B137" s="78">
        <f t="shared" si="22"/>
        <v>307.591559367547</v>
      </c>
      <c r="C137" s="79">
        <f t="shared" si="23"/>
        <v>3647</v>
      </c>
      <c r="D137" s="82">
        <f t="shared" si="24"/>
        <v>42.96498664561659</v>
      </c>
      <c r="E137" s="74">
        <f t="shared" si="25"/>
        <v>3657.846524578504</v>
      </c>
      <c r="F137" s="75">
        <f t="shared" si="26"/>
        <v>309.193102298644</v>
      </c>
      <c r="G137" s="76">
        <f t="shared" si="27"/>
        <v>3657</v>
      </c>
      <c r="H137" s="77">
        <f t="shared" si="28"/>
        <v>222.9649866456166</v>
      </c>
    </row>
    <row r="138" spans="1:8" ht="12.75">
      <c r="A138" s="74">
        <f t="shared" si="21"/>
        <v>3667.7237225512545</v>
      </c>
      <c r="B138" s="75">
        <f t="shared" si="22"/>
        <v>264.33966184569454</v>
      </c>
      <c r="C138" s="76">
        <f t="shared" si="23"/>
        <v>3667</v>
      </c>
      <c r="D138" s="77">
        <f t="shared" si="24"/>
        <v>0.33477964252233505</v>
      </c>
      <c r="E138" s="18">
        <f t="shared" si="25"/>
        <v>3677.728107336829</v>
      </c>
      <c r="F138" s="78">
        <f t="shared" si="26"/>
        <v>265.94120477679155</v>
      </c>
      <c r="G138" s="79">
        <f t="shared" si="27"/>
        <v>3677</v>
      </c>
      <c r="H138" s="80">
        <f t="shared" si="28"/>
        <v>180.33477964252234</v>
      </c>
    </row>
    <row r="139" spans="1:8" ht="12.75">
      <c r="A139" s="16">
        <f t="shared" si="21"/>
        <v>3687.6053053095793</v>
      </c>
      <c r="B139" s="78">
        <f t="shared" si="22"/>
        <v>221.08776432384207</v>
      </c>
      <c r="C139" s="79">
        <f t="shared" si="23"/>
        <v>3687</v>
      </c>
      <c r="D139" s="82">
        <f t="shared" si="24"/>
        <v>317.7045726394281</v>
      </c>
      <c r="E139" s="74">
        <f t="shared" si="25"/>
        <v>3697.609690095154</v>
      </c>
      <c r="F139" s="75">
        <f t="shared" si="26"/>
        <v>222.68930725493908</v>
      </c>
      <c r="G139" s="76">
        <f t="shared" si="27"/>
        <v>3697</v>
      </c>
      <c r="H139" s="77">
        <f t="shared" si="28"/>
        <v>137.70457263942808</v>
      </c>
    </row>
    <row r="140" spans="1:8" ht="12.75">
      <c r="A140" s="74">
        <f t="shared" si="21"/>
        <v>3707.486888067904</v>
      </c>
      <c r="B140" s="75">
        <f t="shared" si="22"/>
        <v>177.8358668019896</v>
      </c>
      <c r="C140" s="76">
        <f t="shared" si="23"/>
        <v>3707</v>
      </c>
      <c r="D140" s="77">
        <f t="shared" si="24"/>
        <v>275.0743656363338</v>
      </c>
      <c r="E140" s="18">
        <f t="shared" si="25"/>
        <v>3717.4912728534787</v>
      </c>
      <c r="F140" s="78">
        <f t="shared" si="26"/>
        <v>179.4374097330866</v>
      </c>
      <c r="G140" s="79">
        <f t="shared" si="27"/>
        <v>3717</v>
      </c>
      <c r="H140" s="80">
        <f t="shared" si="28"/>
        <v>95.07436563633382</v>
      </c>
    </row>
    <row r="141" spans="1:8" ht="12.75">
      <c r="A141" s="16">
        <f t="shared" si="21"/>
        <v>3727.368470826229</v>
      </c>
      <c r="B141" s="78">
        <f t="shared" si="22"/>
        <v>134.58396928013713</v>
      </c>
      <c r="C141" s="79">
        <f t="shared" si="23"/>
        <v>3727</v>
      </c>
      <c r="D141" s="82">
        <f t="shared" si="24"/>
        <v>232.44415863323957</v>
      </c>
      <c r="E141" s="74">
        <f t="shared" si="25"/>
        <v>3737.3728556118035</v>
      </c>
      <c r="F141" s="75">
        <f t="shared" si="26"/>
        <v>136.18551221123414</v>
      </c>
      <c r="G141" s="76">
        <f t="shared" si="27"/>
        <v>3737</v>
      </c>
      <c r="H141" s="77">
        <f t="shared" si="28"/>
        <v>52.44415863323957</v>
      </c>
    </row>
    <row r="142" spans="1:8" ht="12.75">
      <c r="A142" s="74">
        <f t="shared" si="21"/>
        <v>3747.250053584554</v>
      </c>
      <c r="B142" s="75">
        <f t="shared" si="22"/>
        <v>91.33207175828466</v>
      </c>
      <c r="C142" s="76">
        <f t="shared" si="23"/>
        <v>3747</v>
      </c>
      <c r="D142" s="77">
        <f t="shared" si="24"/>
        <v>189.81395163037814</v>
      </c>
      <c r="E142" s="18">
        <f t="shared" si="25"/>
        <v>3757.2544383701284</v>
      </c>
      <c r="F142" s="78">
        <f t="shared" si="26"/>
        <v>92.93361468938167</v>
      </c>
      <c r="G142" s="79">
        <f t="shared" si="27"/>
        <v>3757</v>
      </c>
      <c r="H142" s="80">
        <f t="shared" si="28"/>
        <v>9.813951630378142</v>
      </c>
    </row>
    <row r="143" spans="1:8" ht="12.75">
      <c r="A143" s="16">
        <f t="shared" si="21"/>
        <v>3767.1316363428787</v>
      </c>
      <c r="B143" s="78">
        <f t="shared" si="22"/>
        <v>48.080174236432185</v>
      </c>
      <c r="C143" s="79">
        <f t="shared" si="23"/>
        <v>3767</v>
      </c>
      <c r="D143" s="82">
        <f t="shared" si="24"/>
        <v>147.1837446272839</v>
      </c>
      <c r="E143" s="74">
        <f t="shared" si="25"/>
        <v>3777.136021128453</v>
      </c>
      <c r="F143" s="75">
        <f t="shared" si="26"/>
        <v>49.6817171675292</v>
      </c>
      <c r="G143" s="76">
        <f t="shared" si="27"/>
        <v>3777</v>
      </c>
      <c r="H143" s="77">
        <f t="shared" si="28"/>
        <v>327.1837446272839</v>
      </c>
    </row>
    <row r="144" spans="1:8" ht="12.75">
      <c r="A144" s="74">
        <f t="shared" si="21"/>
        <v>3787.0132191012035</v>
      </c>
      <c r="B144" s="75">
        <f t="shared" si="22"/>
        <v>4.828276714579715</v>
      </c>
      <c r="C144" s="76">
        <f t="shared" si="23"/>
        <v>3787</v>
      </c>
      <c r="D144" s="77">
        <f t="shared" si="24"/>
        <v>104.55353762418963</v>
      </c>
      <c r="E144" s="18">
        <f t="shared" si="25"/>
        <v>3797.017603886778</v>
      </c>
      <c r="F144" s="78">
        <f t="shared" si="26"/>
        <v>6.42981964567673</v>
      </c>
      <c r="G144" s="79">
        <f t="shared" si="27"/>
        <v>3797</v>
      </c>
      <c r="H144" s="80">
        <f t="shared" si="28"/>
        <v>284.55353762418963</v>
      </c>
    </row>
    <row r="145" spans="1:8" ht="12.75">
      <c r="A145" s="16">
        <f t="shared" si="21"/>
        <v>3806.8948018595283</v>
      </c>
      <c r="B145" s="78">
        <f t="shared" si="22"/>
        <v>326.82637919272725</v>
      </c>
      <c r="C145" s="79">
        <f t="shared" si="23"/>
        <v>3806</v>
      </c>
      <c r="D145" s="82">
        <f t="shared" si="24"/>
        <v>61.923330621095374</v>
      </c>
      <c r="E145" s="74">
        <f t="shared" si="25"/>
        <v>3816.899186645103</v>
      </c>
      <c r="F145" s="75">
        <f t="shared" si="26"/>
        <v>328.42792212382426</v>
      </c>
      <c r="G145" s="76">
        <f t="shared" si="27"/>
        <v>3816</v>
      </c>
      <c r="H145" s="77">
        <f t="shared" si="28"/>
        <v>241.92333062109537</v>
      </c>
    </row>
    <row r="146" spans="1:8" ht="12.75">
      <c r="A146" s="74">
        <f t="shared" si="21"/>
        <v>3826.776384617853</v>
      </c>
      <c r="B146" s="75">
        <f t="shared" si="22"/>
        <v>283.5744816708748</v>
      </c>
      <c r="C146" s="76">
        <f t="shared" si="23"/>
        <v>3826</v>
      </c>
      <c r="D146" s="77">
        <f t="shared" si="24"/>
        <v>19.29312361800112</v>
      </c>
      <c r="E146" s="18">
        <f t="shared" si="25"/>
        <v>3836.7807694034277</v>
      </c>
      <c r="F146" s="78">
        <f t="shared" si="26"/>
        <v>285.1760246019718</v>
      </c>
      <c r="G146" s="79">
        <f t="shared" si="27"/>
        <v>3836</v>
      </c>
      <c r="H146" s="80">
        <f t="shared" si="28"/>
        <v>199.29312361800112</v>
      </c>
    </row>
    <row r="147" spans="1:8" ht="12.75">
      <c r="A147" s="16">
        <f t="shared" si="21"/>
        <v>3846.657967376178</v>
      </c>
      <c r="B147" s="78">
        <f t="shared" si="22"/>
        <v>240.3225841490223</v>
      </c>
      <c r="C147" s="79">
        <f t="shared" si="23"/>
        <v>3846</v>
      </c>
      <c r="D147" s="82">
        <f t="shared" si="24"/>
        <v>336.66291661490686</v>
      </c>
      <c r="E147" s="74">
        <f t="shared" si="25"/>
        <v>3856.6623521617526</v>
      </c>
      <c r="F147" s="75">
        <f t="shared" si="26"/>
        <v>241.92412708011932</v>
      </c>
      <c r="G147" s="76">
        <f t="shared" si="27"/>
        <v>3856</v>
      </c>
      <c r="H147" s="77">
        <f t="shared" si="28"/>
        <v>156.66291661490686</v>
      </c>
    </row>
    <row r="148" spans="1:8" ht="12.75">
      <c r="A148" s="74">
        <f t="shared" si="21"/>
        <v>3866.539550134503</v>
      </c>
      <c r="B148" s="75">
        <f t="shared" si="22"/>
        <v>197.07068662716983</v>
      </c>
      <c r="C148" s="76">
        <f t="shared" si="23"/>
        <v>3866</v>
      </c>
      <c r="D148" s="77">
        <f t="shared" si="24"/>
        <v>294.03270961204544</v>
      </c>
      <c r="E148" s="18">
        <f t="shared" si="25"/>
        <v>3876.5439349200774</v>
      </c>
      <c r="F148" s="78">
        <f t="shared" si="26"/>
        <v>198.67222955826685</v>
      </c>
      <c r="G148" s="79">
        <f t="shared" si="27"/>
        <v>3876</v>
      </c>
      <c r="H148" s="80">
        <f t="shared" si="28"/>
        <v>114.03270961204544</v>
      </c>
    </row>
    <row r="149" spans="1:8" ht="12.75">
      <c r="A149" s="16">
        <f t="shared" si="21"/>
        <v>3886.4211328928277</v>
      </c>
      <c r="B149" s="78">
        <f t="shared" si="22"/>
        <v>153.81878910531736</v>
      </c>
      <c r="C149" s="79">
        <f t="shared" si="23"/>
        <v>3886</v>
      </c>
      <c r="D149" s="82">
        <f t="shared" si="24"/>
        <v>251.40250260895118</v>
      </c>
      <c r="E149" s="74">
        <f t="shared" si="25"/>
        <v>3896.4255176784022</v>
      </c>
      <c r="F149" s="75">
        <f t="shared" si="26"/>
        <v>155.42033203641438</v>
      </c>
      <c r="G149" s="76">
        <f t="shared" si="27"/>
        <v>3896</v>
      </c>
      <c r="H149" s="77">
        <f t="shared" si="28"/>
        <v>71.40250260895118</v>
      </c>
    </row>
    <row r="150" spans="1:8" ht="12.75">
      <c r="A150" s="74">
        <f t="shared" si="21"/>
        <v>3906.3027156511525</v>
      </c>
      <c r="B150" s="75">
        <f aca="true" t="shared" si="29" ref="B150:B181">MOD(A150,1)*365.25</f>
        <v>110.5668915834649</v>
      </c>
      <c r="C150" s="76">
        <f aca="true" t="shared" si="30" ref="C150:C181">FLOOR(A150,1)</f>
        <v>3906</v>
      </c>
      <c r="D150" s="77">
        <f aca="true" t="shared" si="31" ref="D150:D181">MOD((A150-264/365.25)*360,360)</f>
        <v>208.77229560585693</v>
      </c>
      <c r="E150" s="18">
        <f aca="true" t="shared" si="32" ref="E150:E181">A150+$B$20</f>
        <v>3916.307100436727</v>
      </c>
      <c r="F150" s="78">
        <f aca="true" t="shared" si="33" ref="F150:F181">MOD(E150,1)*365.25</f>
        <v>112.16843451456191</v>
      </c>
      <c r="G150" s="79">
        <f aca="true" t="shared" si="34" ref="G150:G181">FLOOR(E150,1)</f>
        <v>3916</v>
      </c>
      <c r="H150" s="80">
        <f aca="true" t="shared" si="35" ref="H150:H181">MOD(D150+180,360)</f>
        <v>28.772295605856925</v>
      </c>
    </row>
    <row r="151" spans="1:8" ht="12.75">
      <c r="A151" s="16">
        <f t="shared" si="21"/>
        <v>3926.1842984094774</v>
      </c>
      <c r="B151" s="78">
        <f t="shared" si="29"/>
        <v>67.31499406161242</v>
      </c>
      <c r="C151" s="79">
        <f t="shared" si="30"/>
        <v>3926</v>
      </c>
      <c r="D151" s="82">
        <f t="shared" si="31"/>
        <v>166.14208860276267</v>
      </c>
      <c r="E151" s="74">
        <f t="shared" si="32"/>
        <v>3936.188683195052</v>
      </c>
      <c r="F151" s="75">
        <f t="shared" si="33"/>
        <v>68.91653699270944</v>
      </c>
      <c r="G151" s="76">
        <f t="shared" si="34"/>
        <v>3936</v>
      </c>
      <c r="H151" s="77">
        <f t="shared" si="35"/>
        <v>346.14208860276267</v>
      </c>
    </row>
    <row r="152" spans="1:8" ht="12.75">
      <c r="A152" s="74">
        <f t="shared" si="21"/>
        <v>3946.065881167802</v>
      </c>
      <c r="B152" s="75">
        <f t="shared" si="29"/>
        <v>24.063096539759954</v>
      </c>
      <c r="C152" s="76">
        <f t="shared" si="30"/>
        <v>3946</v>
      </c>
      <c r="D152" s="77">
        <f t="shared" si="31"/>
        <v>123.51188159966841</v>
      </c>
      <c r="E152" s="18">
        <f t="shared" si="32"/>
        <v>3956.0702659533767</v>
      </c>
      <c r="F152" s="78">
        <f t="shared" si="33"/>
        <v>25.66463947085697</v>
      </c>
      <c r="G152" s="79">
        <f t="shared" si="34"/>
        <v>3956</v>
      </c>
      <c r="H152" s="80">
        <f t="shared" si="35"/>
        <v>303.5118815996684</v>
      </c>
    </row>
    <row r="153" spans="1:8" ht="12.75">
      <c r="A153" s="16">
        <f t="shared" si="21"/>
        <v>3965.947463926127</v>
      </c>
      <c r="B153" s="78">
        <f t="shared" si="29"/>
        <v>346.0611990179075</v>
      </c>
      <c r="C153" s="79">
        <f t="shared" si="30"/>
        <v>3965</v>
      </c>
      <c r="D153" s="82">
        <f t="shared" si="31"/>
        <v>80.88167459657416</v>
      </c>
      <c r="E153" s="74">
        <f t="shared" si="32"/>
        <v>3975.9518487117016</v>
      </c>
      <c r="F153" s="75">
        <f t="shared" si="33"/>
        <v>347.6627419490045</v>
      </c>
      <c r="G153" s="76">
        <f t="shared" si="34"/>
        <v>3975</v>
      </c>
      <c r="H153" s="77">
        <f t="shared" si="35"/>
        <v>260.88167459657416</v>
      </c>
    </row>
    <row r="154" spans="1:8" ht="12.75">
      <c r="A154" s="74">
        <f t="shared" si="21"/>
        <v>3985.829046684452</v>
      </c>
      <c r="B154" s="75">
        <f t="shared" si="29"/>
        <v>302.809301496055</v>
      </c>
      <c r="C154" s="76">
        <f t="shared" si="30"/>
        <v>3985</v>
      </c>
      <c r="D154" s="77">
        <f t="shared" si="31"/>
        <v>38.2514675934799</v>
      </c>
      <c r="E154" s="18">
        <f t="shared" si="32"/>
        <v>3995.8334314700264</v>
      </c>
      <c r="F154" s="78">
        <f t="shared" si="33"/>
        <v>304.410844427152</v>
      </c>
      <c r="G154" s="79">
        <f t="shared" si="34"/>
        <v>3995</v>
      </c>
      <c r="H154" s="80">
        <f t="shared" si="35"/>
        <v>218.2514675934799</v>
      </c>
    </row>
    <row r="155" spans="1:8" ht="12.75">
      <c r="A155" s="16">
        <f t="shared" si="21"/>
        <v>4005.7106294427767</v>
      </c>
      <c r="B155" s="78">
        <f t="shared" si="29"/>
        <v>259.55740397420254</v>
      </c>
      <c r="C155" s="79">
        <f t="shared" si="30"/>
        <v>4005</v>
      </c>
      <c r="D155" s="82">
        <f t="shared" si="31"/>
        <v>355.6212605906185</v>
      </c>
      <c r="E155" s="74">
        <f t="shared" si="32"/>
        <v>4015.7150142283513</v>
      </c>
      <c r="F155" s="75">
        <f t="shared" si="33"/>
        <v>261.15894690529956</v>
      </c>
      <c r="G155" s="76">
        <f t="shared" si="34"/>
        <v>4015</v>
      </c>
      <c r="H155" s="77">
        <f t="shared" si="35"/>
        <v>175.62126059061848</v>
      </c>
    </row>
    <row r="156" spans="1:8" ht="12.75">
      <c r="A156" s="74">
        <f t="shared" si="21"/>
        <v>4025.5922122011016</v>
      </c>
      <c r="B156" s="75">
        <f t="shared" si="29"/>
        <v>216.30550645235007</v>
      </c>
      <c r="C156" s="76">
        <f t="shared" si="30"/>
        <v>4025</v>
      </c>
      <c r="D156" s="77">
        <f t="shared" si="31"/>
        <v>312.9910535875242</v>
      </c>
      <c r="E156" s="18">
        <f t="shared" si="32"/>
        <v>4035.596596986676</v>
      </c>
      <c r="F156" s="78">
        <f t="shared" si="33"/>
        <v>217.9070493834471</v>
      </c>
      <c r="G156" s="79">
        <f t="shared" si="34"/>
        <v>4035</v>
      </c>
      <c r="H156" s="80">
        <f t="shared" si="35"/>
        <v>132.99105358752422</v>
      </c>
    </row>
    <row r="157" spans="1:8" ht="12.75">
      <c r="A157" s="16">
        <f t="shared" si="21"/>
        <v>4045.4737949594264</v>
      </c>
      <c r="B157" s="78">
        <f t="shared" si="29"/>
        <v>173.0536089304976</v>
      </c>
      <c r="C157" s="79">
        <f t="shared" si="30"/>
        <v>4045</v>
      </c>
      <c r="D157" s="82">
        <f t="shared" si="31"/>
        <v>270.36084658442996</v>
      </c>
      <c r="E157" s="74">
        <f t="shared" si="32"/>
        <v>4055.478179745001</v>
      </c>
      <c r="F157" s="75">
        <f t="shared" si="33"/>
        <v>174.65515186159462</v>
      </c>
      <c r="G157" s="76">
        <f t="shared" si="34"/>
        <v>4055</v>
      </c>
      <c r="H157" s="77">
        <f t="shared" si="35"/>
        <v>90.36084658442996</v>
      </c>
    </row>
    <row r="158" spans="1:8" ht="12.75">
      <c r="A158" s="74">
        <f t="shared" si="21"/>
        <v>4065.3553777177513</v>
      </c>
      <c r="B158" s="75">
        <f t="shared" si="29"/>
        <v>129.80171140864513</v>
      </c>
      <c r="C158" s="76">
        <f t="shared" si="30"/>
        <v>4065</v>
      </c>
      <c r="D158" s="77">
        <f t="shared" si="31"/>
        <v>227.7306395813357</v>
      </c>
      <c r="E158" s="18">
        <f t="shared" si="32"/>
        <v>4075.359762503326</v>
      </c>
      <c r="F158" s="78">
        <f t="shared" si="33"/>
        <v>131.40325433974215</v>
      </c>
      <c r="G158" s="79">
        <f t="shared" si="34"/>
        <v>4075</v>
      </c>
      <c r="H158" s="80">
        <f t="shared" si="35"/>
        <v>47.73063958133571</v>
      </c>
    </row>
    <row r="159" spans="1:8" ht="12.75">
      <c r="A159" s="16">
        <f t="shared" si="21"/>
        <v>4085.236960476076</v>
      </c>
      <c r="B159" s="78">
        <f t="shared" si="29"/>
        <v>86.54981388679266</v>
      </c>
      <c r="C159" s="79">
        <f t="shared" si="30"/>
        <v>4085</v>
      </c>
      <c r="D159" s="82">
        <f t="shared" si="31"/>
        <v>185.10043257824145</v>
      </c>
      <c r="E159" s="74">
        <f t="shared" si="32"/>
        <v>4095.2413452616506</v>
      </c>
      <c r="F159" s="75">
        <f t="shared" si="33"/>
        <v>88.15135681788968</v>
      </c>
      <c r="G159" s="76">
        <f t="shared" si="34"/>
        <v>4095</v>
      </c>
      <c r="H159" s="77">
        <f t="shared" si="35"/>
        <v>5.100432578241453</v>
      </c>
    </row>
    <row r="160" spans="1:8" ht="12.75">
      <c r="A160" s="74">
        <f t="shared" si="21"/>
        <v>4105.118543234401</v>
      </c>
      <c r="B160" s="75">
        <f t="shared" si="29"/>
        <v>43.29791636494019</v>
      </c>
      <c r="C160" s="76">
        <f t="shared" si="30"/>
        <v>4105</v>
      </c>
      <c r="D160" s="77">
        <f t="shared" si="31"/>
        <v>142.4702255751472</v>
      </c>
      <c r="E160" s="18">
        <f t="shared" si="32"/>
        <v>4115.122928019976</v>
      </c>
      <c r="F160" s="78">
        <f t="shared" si="33"/>
        <v>44.899459296203304</v>
      </c>
      <c r="G160" s="79">
        <f t="shared" si="34"/>
        <v>4115</v>
      </c>
      <c r="H160" s="80">
        <f t="shared" si="35"/>
        <v>322.4702255751472</v>
      </c>
    </row>
    <row r="161" spans="1:8" ht="12.75">
      <c r="A161" s="16">
        <f t="shared" si="21"/>
        <v>4125.000125992726</v>
      </c>
      <c r="B161" s="78">
        <f t="shared" si="29"/>
        <v>0.046018843087722416</v>
      </c>
      <c r="C161" s="79">
        <f t="shared" si="30"/>
        <v>4125</v>
      </c>
      <c r="D161" s="82">
        <f t="shared" si="31"/>
        <v>99.84001857228577</v>
      </c>
      <c r="E161" s="74">
        <f t="shared" si="32"/>
        <v>4135.004510778301</v>
      </c>
      <c r="F161" s="75">
        <f t="shared" si="33"/>
        <v>1.6475617743508337</v>
      </c>
      <c r="G161" s="76">
        <f t="shared" si="34"/>
        <v>4135</v>
      </c>
      <c r="H161" s="77">
        <f t="shared" si="35"/>
        <v>279.84001857228577</v>
      </c>
    </row>
    <row r="162" spans="1:8" ht="12.75">
      <c r="A162" s="74">
        <f t="shared" si="21"/>
        <v>4144.881708751051</v>
      </c>
      <c r="B162" s="75">
        <f t="shared" si="29"/>
        <v>322.04412132123525</v>
      </c>
      <c r="C162" s="76">
        <f t="shared" si="30"/>
        <v>4144</v>
      </c>
      <c r="D162" s="77">
        <f t="shared" si="31"/>
        <v>57.209811569191515</v>
      </c>
      <c r="E162" s="18">
        <f t="shared" si="32"/>
        <v>4154.886093536626</v>
      </c>
      <c r="F162" s="78">
        <f t="shared" si="33"/>
        <v>323.64566425249836</v>
      </c>
      <c r="G162" s="79">
        <f t="shared" si="34"/>
        <v>4154</v>
      </c>
      <c r="H162" s="80">
        <f t="shared" si="35"/>
        <v>237.20981156919152</v>
      </c>
    </row>
    <row r="163" spans="1:8" ht="12.75">
      <c r="A163" s="16">
        <f t="shared" si="21"/>
        <v>4164.763291509375</v>
      </c>
      <c r="B163" s="78">
        <f t="shared" si="29"/>
        <v>278.7922237993828</v>
      </c>
      <c r="C163" s="79">
        <f t="shared" si="30"/>
        <v>4164</v>
      </c>
      <c r="D163" s="82">
        <f t="shared" si="31"/>
        <v>14.57960456609726</v>
      </c>
      <c r="E163" s="74">
        <f t="shared" si="32"/>
        <v>4174.76767629495</v>
      </c>
      <c r="F163" s="75">
        <f t="shared" si="33"/>
        <v>280.3937667306459</v>
      </c>
      <c r="G163" s="76">
        <f t="shared" si="34"/>
        <v>4174</v>
      </c>
      <c r="H163" s="77">
        <f t="shared" si="35"/>
        <v>194.57960456609726</v>
      </c>
    </row>
    <row r="164" spans="1:8" ht="12.75">
      <c r="A164" s="74">
        <f t="shared" si="21"/>
        <v>4184.6448742677</v>
      </c>
      <c r="B164" s="75">
        <f t="shared" si="29"/>
        <v>235.5403262775303</v>
      </c>
      <c r="C164" s="76">
        <f t="shared" si="30"/>
        <v>4184</v>
      </c>
      <c r="D164" s="77">
        <f t="shared" si="31"/>
        <v>331.949397563003</v>
      </c>
      <c r="E164" s="18">
        <f t="shared" si="32"/>
        <v>4194.649259053275</v>
      </c>
      <c r="F164" s="78">
        <f t="shared" si="33"/>
        <v>237.14186920879342</v>
      </c>
      <c r="G164" s="79">
        <f t="shared" si="34"/>
        <v>4194</v>
      </c>
      <c r="H164" s="80">
        <f t="shared" si="35"/>
        <v>151.949397563003</v>
      </c>
    </row>
    <row r="165" spans="1:8" ht="12.75">
      <c r="A165" s="16">
        <f t="shared" si="21"/>
        <v>4204.526457026025</v>
      </c>
      <c r="B165" s="78">
        <f t="shared" si="29"/>
        <v>192.28842875567784</v>
      </c>
      <c r="C165" s="79">
        <f t="shared" si="30"/>
        <v>4204</v>
      </c>
      <c r="D165" s="82">
        <f t="shared" si="31"/>
        <v>289.31919055990875</v>
      </c>
      <c r="E165" s="74">
        <f t="shared" si="32"/>
        <v>4214.5308418116</v>
      </c>
      <c r="F165" s="75">
        <f t="shared" si="33"/>
        <v>193.88997168694095</v>
      </c>
      <c r="G165" s="76">
        <f t="shared" si="34"/>
        <v>4214</v>
      </c>
      <c r="H165" s="77">
        <f t="shared" si="35"/>
        <v>109.31919055990875</v>
      </c>
    </row>
    <row r="166" spans="1:8" ht="12.75">
      <c r="A166" s="74">
        <f t="shared" si="21"/>
        <v>4224.40803978435</v>
      </c>
      <c r="B166" s="75">
        <f t="shared" si="29"/>
        <v>149.03653123382537</v>
      </c>
      <c r="C166" s="76">
        <f t="shared" si="30"/>
        <v>4224</v>
      </c>
      <c r="D166" s="77">
        <f t="shared" si="31"/>
        <v>246.6889835568145</v>
      </c>
      <c r="E166" s="18">
        <f t="shared" si="32"/>
        <v>4234.412424569925</v>
      </c>
      <c r="F166" s="78">
        <f t="shared" si="33"/>
        <v>150.63807416508848</v>
      </c>
      <c r="G166" s="79">
        <f t="shared" si="34"/>
        <v>4234</v>
      </c>
      <c r="H166" s="80">
        <f t="shared" si="35"/>
        <v>66.68898355681449</v>
      </c>
    </row>
    <row r="167" spans="1:8" ht="12.75">
      <c r="A167" s="16">
        <f t="shared" si="21"/>
        <v>4244.289622542675</v>
      </c>
      <c r="B167" s="78">
        <f t="shared" si="29"/>
        <v>105.7846337119729</v>
      </c>
      <c r="C167" s="79">
        <f t="shared" si="30"/>
        <v>4244</v>
      </c>
      <c r="D167" s="82">
        <f t="shared" si="31"/>
        <v>204.05877655372024</v>
      </c>
      <c r="E167" s="74">
        <f t="shared" si="32"/>
        <v>4254.29400732825</v>
      </c>
      <c r="F167" s="75">
        <f t="shared" si="33"/>
        <v>107.38617664323601</v>
      </c>
      <c r="G167" s="76">
        <f t="shared" si="34"/>
        <v>4254</v>
      </c>
      <c r="H167" s="77">
        <f t="shared" si="35"/>
        <v>24.058776553720236</v>
      </c>
    </row>
    <row r="168" spans="1:8" ht="12.75">
      <c r="A168" s="74">
        <f t="shared" si="21"/>
        <v>4264.171205301</v>
      </c>
      <c r="B168" s="75">
        <f t="shared" si="29"/>
        <v>62.53273619012043</v>
      </c>
      <c r="C168" s="76">
        <f t="shared" si="30"/>
        <v>4264</v>
      </c>
      <c r="D168" s="77">
        <f t="shared" si="31"/>
        <v>161.4285695508588</v>
      </c>
      <c r="E168" s="18">
        <f t="shared" si="32"/>
        <v>4274.175590086575</v>
      </c>
      <c r="F168" s="78">
        <f t="shared" si="33"/>
        <v>64.13427912138354</v>
      </c>
      <c r="G168" s="79">
        <f t="shared" si="34"/>
        <v>4274</v>
      </c>
      <c r="H168" s="80">
        <f t="shared" si="35"/>
        <v>341.4285695508588</v>
      </c>
    </row>
    <row r="169" spans="1:8" ht="12.75">
      <c r="A169" s="16">
        <f t="shared" si="21"/>
        <v>4284.0527880593245</v>
      </c>
      <c r="B169" s="78">
        <f t="shared" si="29"/>
        <v>19.28083866826796</v>
      </c>
      <c r="C169" s="79">
        <f t="shared" si="30"/>
        <v>4284</v>
      </c>
      <c r="D169" s="82">
        <f t="shared" si="31"/>
        <v>118.79836254776455</v>
      </c>
      <c r="E169" s="74">
        <f t="shared" si="32"/>
        <v>4294.0571728448995</v>
      </c>
      <c r="F169" s="75">
        <f t="shared" si="33"/>
        <v>20.882381599531072</v>
      </c>
      <c r="G169" s="76">
        <f t="shared" si="34"/>
        <v>4294</v>
      </c>
      <c r="H169" s="77">
        <f t="shared" si="35"/>
        <v>298.79836254776455</v>
      </c>
    </row>
    <row r="170" spans="1:8" ht="12.75">
      <c r="A170" s="74">
        <f t="shared" si="21"/>
        <v>4303.934370817649</v>
      </c>
      <c r="B170" s="75">
        <f t="shared" si="29"/>
        <v>341.2789411464155</v>
      </c>
      <c r="C170" s="76">
        <f t="shared" si="30"/>
        <v>4303</v>
      </c>
      <c r="D170" s="77">
        <f t="shared" si="31"/>
        <v>76.1681555446703</v>
      </c>
      <c r="E170" s="18">
        <f t="shared" si="32"/>
        <v>4313.938755603224</v>
      </c>
      <c r="F170" s="78">
        <f t="shared" si="33"/>
        <v>342.8804840776786</v>
      </c>
      <c r="G170" s="79">
        <f t="shared" si="34"/>
        <v>4313</v>
      </c>
      <c r="H170" s="80">
        <f t="shared" si="35"/>
        <v>256.1681555446703</v>
      </c>
    </row>
    <row r="171" spans="1:8" ht="12.75">
      <c r="A171" s="16">
        <f t="shared" si="21"/>
        <v>4323.815953575974</v>
      </c>
      <c r="B171" s="78">
        <f t="shared" si="29"/>
        <v>298.027043624563</v>
      </c>
      <c r="C171" s="79">
        <f t="shared" si="30"/>
        <v>4323</v>
      </c>
      <c r="D171" s="82">
        <f t="shared" si="31"/>
        <v>33.53794854157604</v>
      </c>
      <c r="E171" s="74">
        <f t="shared" si="32"/>
        <v>4333.820338361549</v>
      </c>
      <c r="F171" s="75">
        <f t="shared" si="33"/>
        <v>299.62858655582613</v>
      </c>
      <c r="G171" s="76">
        <f t="shared" si="34"/>
        <v>4333</v>
      </c>
      <c r="H171" s="77">
        <f t="shared" si="35"/>
        <v>213.53794854157604</v>
      </c>
    </row>
    <row r="172" spans="1:8" ht="12.75">
      <c r="A172" s="74">
        <f t="shared" si="21"/>
        <v>4343.697536334299</v>
      </c>
      <c r="B172" s="75">
        <f t="shared" si="29"/>
        <v>254.77514610271055</v>
      </c>
      <c r="C172" s="76">
        <f t="shared" si="30"/>
        <v>4343</v>
      </c>
      <c r="D172" s="77">
        <f t="shared" si="31"/>
        <v>350.9077415384818</v>
      </c>
      <c r="E172" s="18">
        <f t="shared" si="32"/>
        <v>4353.701921119874</v>
      </c>
      <c r="F172" s="78">
        <f t="shared" si="33"/>
        <v>256.37668903397366</v>
      </c>
      <c r="G172" s="79">
        <f t="shared" si="34"/>
        <v>4353</v>
      </c>
      <c r="H172" s="80">
        <f t="shared" si="35"/>
        <v>170.9077415384818</v>
      </c>
    </row>
    <row r="173" spans="1:8" ht="12.75">
      <c r="A173" s="16">
        <f t="shared" si="21"/>
        <v>4363.579119092624</v>
      </c>
      <c r="B173" s="78">
        <f t="shared" si="29"/>
        <v>211.52324858085808</v>
      </c>
      <c r="C173" s="79">
        <f t="shared" si="30"/>
        <v>4363</v>
      </c>
      <c r="D173" s="82">
        <f t="shared" si="31"/>
        <v>308.27753453538753</v>
      </c>
      <c r="E173" s="74">
        <f t="shared" si="32"/>
        <v>4373.583503878199</v>
      </c>
      <c r="F173" s="75">
        <f t="shared" si="33"/>
        <v>213.1247915121212</v>
      </c>
      <c r="G173" s="76">
        <f t="shared" si="34"/>
        <v>4373</v>
      </c>
      <c r="H173" s="77">
        <f t="shared" si="35"/>
        <v>128.27753453538753</v>
      </c>
    </row>
    <row r="174" spans="1:8" ht="12.75">
      <c r="A174" s="74">
        <f t="shared" si="21"/>
        <v>4383.460701850949</v>
      </c>
      <c r="B174" s="75">
        <f t="shared" si="29"/>
        <v>168.2713510590056</v>
      </c>
      <c r="C174" s="76">
        <f t="shared" si="30"/>
        <v>4383</v>
      </c>
      <c r="D174" s="77">
        <f t="shared" si="31"/>
        <v>265.6473275325261</v>
      </c>
      <c r="E174" s="18">
        <f t="shared" si="32"/>
        <v>4393.465086636524</v>
      </c>
      <c r="F174" s="78">
        <f t="shared" si="33"/>
        <v>169.87289399026872</v>
      </c>
      <c r="G174" s="79">
        <f t="shared" si="34"/>
        <v>4393</v>
      </c>
      <c r="H174" s="80">
        <f t="shared" si="35"/>
        <v>85.6473275325261</v>
      </c>
    </row>
    <row r="175" spans="1:8" ht="12.75">
      <c r="A175" s="16">
        <f t="shared" si="21"/>
        <v>4403.3422846092735</v>
      </c>
      <c r="B175" s="78">
        <f t="shared" si="29"/>
        <v>125.01945353715314</v>
      </c>
      <c r="C175" s="79">
        <f t="shared" si="30"/>
        <v>4403</v>
      </c>
      <c r="D175" s="82">
        <f t="shared" si="31"/>
        <v>223.01712052943185</v>
      </c>
      <c r="E175" s="74">
        <f t="shared" si="32"/>
        <v>4413.3466693948485</v>
      </c>
      <c r="F175" s="75">
        <f t="shared" si="33"/>
        <v>126.62099646841625</v>
      </c>
      <c r="G175" s="76">
        <f t="shared" si="34"/>
        <v>4413</v>
      </c>
      <c r="H175" s="77">
        <f t="shared" si="35"/>
        <v>43.01712052943185</v>
      </c>
    </row>
    <row r="176" spans="1:8" ht="12.75">
      <c r="A176" s="74">
        <f t="shared" si="21"/>
        <v>4423.223867367598</v>
      </c>
      <c r="B176" s="75">
        <f t="shared" si="29"/>
        <v>81.76755601530067</v>
      </c>
      <c r="C176" s="76">
        <f t="shared" si="30"/>
        <v>4423</v>
      </c>
      <c r="D176" s="77">
        <f t="shared" si="31"/>
        <v>180.3869135263376</v>
      </c>
      <c r="E176" s="18">
        <f t="shared" si="32"/>
        <v>4433.228252153173</v>
      </c>
      <c r="F176" s="78">
        <f t="shared" si="33"/>
        <v>83.36909894656378</v>
      </c>
      <c r="G176" s="79">
        <f t="shared" si="34"/>
        <v>4433</v>
      </c>
      <c r="H176" s="80">
        <f t="shared" si="35"/>
        <v>0.3869135263375938</v>
      </c>
    </row>
    <row r="177" spans="1:8" ht="12.75">
      <c r="A177" s="16">
        <f t="shared" si="21"/>
        <v>4443.105450125923</v>
      </c>
      <c r="B177" s="78">
        <f t="shared" si="29"/>
        <v>38.5156584934482</v>
      </c>
      <c r="C177" s="79">
        <f t="shared" si="30"/>
        <v>4443</v>
      </c>
      <c r="D177" s="82">
        <f t="shared" si="31"/>
        <v>137.75670652324334</v>
      </c>
      <c r="E177" s="74">
        <f t="shared" si="32"/>
        <v>4453.109834911498</v>
      </c>
      <c r="F177" s="75">
        <f t="shared" si="33"/>
        <v>40.11720142471131</v>
      </c>
      <c r="G177" s="76">
        <f t="shared" si="34"/>
        <v>4453</v>
      </c>
      <c r="H177" s="77">
        <f t="shared" si="35"/>
        <v>317.75670652324334</v>
      </c>
    </row>
    <row r="178" spans="1:8" ht="12.75">
      <c r="A178" s="74">
        <f t="shared" si="21"/>
        <v>4462.987032884248</v>
      </c>
      <c r="B178" s="75">
        <f t="shared" si="29"/>
        <v>360.51376097159573</v>
      </c>
      <c r="C178" s="76">
        <f t="shared" si="30"/>
        <v>4462</v>
      </c>
      <c r="D178" s="77">
        <f t="shared" si="31"/>
        <v>95.12649952014908</v>
      </c>
      <c r="E178" s="18">
        <f t="shared" si="32"/>
        <v>4472.991417669823</v>
      </c>
      <c r="F178" s="78">
        <f t="shared" si="33"/>
        <v>362.11530390285884</v>
      </c>
      <c r="G178" s="79">
        <f t="shared" si="34"/>
        <v>4472</v>
      </c>
      <c r="H178" s="80">
        <f t="shared" si="35"/>
        <v>275.1264995201491</v>
      </c>
    </row>
    <row r="179" spans="1:8" ht="12.75">
      <c r="A179" s="16">
        <f aca="true" t="shared" si="36" ref="A179:A190">A178+$B$34</f>
        <v>4482.868615642573</v>
      </c>
      <c r="B179" s="78">
        <f t="shared" si="29"/>
        <v>317.26186344974326</v>
      </c>
      <c r="C179" s="79">
        <f t="shared" si="30"/>
        <v>4482</v>
      </c>
      <c r="D179" s="82">
        <f t="shared" si="31"/>
        <v>52.496292517054826</v>
      </c>
      <c r="E179" s="74">
        <f t="shared" si="32"/>
        <v>4492.873000428148</v>
      </c>
      <c r="F179" s="75">
        <f t="shared" si="33"/>
        <v>318.86340638100637</v>
      </c>
      <c r="G179" s="76">
        <f t="shared" si="34"/>
        <v>4492</v>
      </c>
      <c r="H179" s="77">
        <f t="shared" si="35"/>
        <v>232.49629251705483</v>
      </c>
    </row>
    <row r="180" spans="1:8" ht="12.75">
      <c r="A180" s="74">
        <f t="shared" si="36"/>
        <v>4502.750198400898</v>
      </c>
      <c r="B180" s="75">
        <f t="shared" si="29"/>
        <v>274.0099659278908</v>
      </c>
      <c r="C180" s="76">
        <f t="shared" si="30"/>
        <v>4502</v>
      </c>
      <c r="D180" s="77">
        <f t="shared" si="31"/>
        <v>9.86608551396057</v>
      </c>
      <c r="E180" s="18">
        <f t="shared" si="32"/>
        <v>4512.754583186473</v>
      </c>
      <c r="F180" s="78">
        <f t="shared" si="33"/>
        <v>275.6115088591539</v>
      </c>
      <c r="G180" s="79">
        <f t="shared" si="34"/>
        <v>4512</v>
      </c>
      <c r="H180" s="80">
        <f t="shared" si="35"/>
        <v>189.86608551396057</v>
      </c>
    </row>
    <row r="181" spans="1:8" ht="12.75">
      <c r="A181" s="16">
        <f t="shared" si="36"/>
        <v>4522.631781159223</v>
      </c>
      <c r="B181" s="78">
        <f t="shared" si="29"/>
        <v>230.75806840603832</v>
      </c>
      <c r="C181" s="79">
        <f t="shared" si="30"/>
        <v>4522</v>
      </c>
      <c r="D181" s="82">
        <f t="shared" si="31"/>
        <v>327.23587851109914</v>
      </c>
      <c r="E181" s="74">
        <f t="shared" si="32"/>
        <v>4532.6361659447975</v>
      </c>
      <c r="F181" s="75">
        <f t="shared" si="33"/>
        <v>232.35961133730143</v>
      </c>
      <c r="G181" s="76">
        <f t="shared" si="34"/>
        <v>4532</v>
      </c>
      <c r="H181" s="77">
        <f t="shared" si="35"/>
        <v>147.23587851109914</v>
      </c>
    </row>
    <row r="182" spans="1:8" ht="12.75">
      <c r="A182" s="74">
        <f t="shared" si="36"/>
        <v>4542.513363917547</v>
      </c>
      <c r="B182" s="75">
        <f aca="true" t="shared" si="37" ref="B182:B200">MOD(A182,1)*365.25</f>
        <v>187.50617088418585</v>
      </c>
      <c r="C182" s="76">
        <f aca="true" t="shared" si="38" ref="C182:C200">FLOOR(A182,1)</f>
        <v>4542</v>
      </c>
      <c r="D182" s="77">
        <f aca="true" t="shared" si="39" ref="D182:D200">MOD((A182-264/365.25)*360,360)</f>
        <v>284.6056715080049</v>
      </c>
      <c r="E182" s="18">
        <f aca="true" t="shared" si="40" ref="E182:E200">A182+$B$20</f>
        <v>4552.517748703122</v>
      </c>
      <c r="F182" s="78">
        <f aca="true" t="shared" si="41" ref="F182:F200">MOD(E182,1)*365.25</f>
        <v>189.10771381544896</v>
      </c>
      <c r="G182" s="79">
        <f aca="true" t="shared" si="42" ref="G182:G200">FLOOR(E182,1)</f>
        <v>4552</v>
      </c>
      <c r="H182" s="80">
        <f aca="true" t="shared" si="43" ref="H182:H200">MOD(D182+180,360)</f>
        <v>104.60567150800489</v>
      </c>
    </row>
    <row r="183" spans="1:8" ht="12.75">
      <c r="A183" s="16">
        <f t="shared" si="36"/>
        <v>4562.394946675872</v>
      </c>
      <c r="B183" s="78">
        <f t="shared" si="37"/>
        <v>144.25427336233338</v>
      </c>
      <c r="C183" s="79">
        <f t="shared" si="38"/>
        <v>4562</v>
      </c>
      <c r="D183" s="82">
        <f t="shared" si="39"/>
        <v>241.97546450491063</v>
      </c>
      <c r="E183" s="74">
        <f t="shared" si="40"/>
        <v>4572.399331461447</v>
      </c>
      <c r="F183" s="75">
        <f t="shared" si="41"/>
        <v>145.8558162935965</v>
      </c>
      <c r="G183" s="76">
        <f t="shared" si="42"/>
        <v>4572</v>
      </c>
      <c r="H183" s="77">
        <f t="shared" si="43"/>
        <v>61.97546450491063</v>
      </c>
    </row>
    <row r="184" spans="1:8" ht="12.75">
      <c r="A184" s="74">
        <f t="shared" si="36"/>
        <v>4582.276529434197</v>
      </c>
      <c r="B184" s="75">
        <f t="shared" si="37"/>
        <v>101.00237584048091</v>
      </c>
      <c r="C184" s="76">
        <f t="shared" si="38"/>
        <v>4582</v>
      </c>
      <c r="D184" s="77">
        <f t="shared" si="39"/>
        <v>199.34525750181638</v>
      </c>
      <c r="E184" s="18">
        <f t="shared" si="40"/>
        <v>4592.280914219772</v>
      </c>
      <c r="F184" s="78">
        <f t="shared" si="41"/>
        <v>102.60391877174402</v>
      </c>
      <c r="G184" s="79">
        <f t="shared" si="42"/>
        <v>4592</v>
      </c>
      <c r="H184" s="80">
        <f t="shared" si="43"/>
        <v>19.345257501816377</v>
      </c>
    </row>
    <row r="185" spans="1:8" ht="12.75">
      <c r="A185" s="16">
        <f t="shared" si="36"/>
        <v>4602.158112192522</v>
      </c>
      <c r="B185" s="78">
        <f t="shared" si="37"/>
        <v>57.75047831862844</v>
      </c>
      <c r="C185" s="79">
        <f t="shared" si="38"/>
        <v>4602</v>
      </c>
      <c r="D185" s="82">
        <f t="shared" si="39"/>
        <v>156.71505049872212</v>
      </c>
      <c r="E185" s="74">
        <f t="shared" si="40"/>
        <v>4612.162496978097</v>
      </c>
      <c r="F185" s="75">
        <f t="shared" si="41"/>
        <v>59.35202124989155</v>
      </c>
      <c r="G185" s="76">
        <f t="shared" si="42"/>
        <v>4612</v>
      </c>
      <c r="H185" s="77">
        <f t="shared" si="43"/>
        <v>336.7150504987221</v>
      </c>
    </row>
    <row r="186" spans="1:8" ht="12.75">
      <c r="A186" s="74">
        <f t="shared" si="36"/>
        <v>4622.039694950847</v>
      </c>
      <c r="B186" s="75">
        <f t="shared" si="37"/>
        <v>14.498580796775968</v>
      </c>
      <c r="C186" s="76">
        <f t="shared" si="38"/>
        <v>4622</v>
      </c>
      <c r="D186" s="77">
        <f t="shared" si="39"/>
        <v>114.08484349562787</v>
      </c>
      <c r="E186" s="18">
        <f t="shared" si="40"/>
        <v>4632.044079736422</v>
      </c>
      <c r="F186" s="78">
        <f t="shared" si="41"/>
        <v>16.10012372803908</v>
      </c>
      <c r="G186" s="79">
        <f t="shared" si="42"/>
        <v>4632</v>
      </c>
      <c r="H186" s="80">
        <f t="shared" si="43"/>
        <v>294.08484349562787</v>
      </c>
    </row>
    <row r="187" spans="1:8" ht="12.75">
      <c r="A187" s="16">
        <f t="shared" si="36"/>
        <v>4641.921277709172</v>
      </c>
      <c r="B187" s="78">
        <f t="shared" si="37"/>
        <v>336.4966832749235</v>
      </c>
      <c r="C187" s="79">
        <f t="shared" si="38"/>
        <v>4641</v>
      </c>
      <c r="D187" s="82">
        <f t="shared" si="39"/>
        <v>71.45463649276644</v>
      </c>
      <c r="E187" s="74">
        <f t="shared" si="40"/>
        <v>4651.925662494747</v>
      </c>
      <c r="F187" s="75">
        <f t="shared" si="41"/>
        <v>338.0982262061866</v>
      </c>
      <c r="G187" s="76">
        <f t="shared" si="42"/>
        <v>4651</v>
      </c>
      <c r="H187" s="77">
        <f t="shared" si="43"/>
        <v>251.45463649276644</v>
      </c>
    </row>
    <row r="188" spans="1:8" ht="12.75">
      <c r="A188" s="74">
        <f t="shared" si="36"/>
        <v>4661.802860467496</v>
      </c>
      <c r="B188" s="75">
        <f t="shared" si="37"/>
        <v>293.244785753071</v>
      </c>
      <c r="C188" s="76">
        <f t="shared" si="38"/>
        <v>4661</v>
      </c>
      <c r="D188" s="77">
        <f t="shared" si="39"/>
        <v>28.824429489672184</v>
      </c>
      <c r="E188" s="18">
        <f t="shared" si="40"/>
        <v>4671.807245253071</v>
      </c>
      <c r="F188" s="78">
        <f t="shared" si="41"/>
        <v>294.84632868433414</v>
      </c>
      <c r="G188" s="79">
        <f t="shared" si="42"/>
        <v>4671</v>
      </c>
      <c r="H188" s="80">
        <f t="shared" si="43"/>
        <v>208.82442948967218</v>
      </c>
    </row>
    <row r="189" spans="1:8" ht="12.75">
      <c r="A189" s="16">
        <f t="shared" si="36"/>
        <v>4681.684443225821</v>
      </c>
      <c r="B189" s="78">
        <f t="shared" si="37"/>
        <v>249.99288823121856</v>
      </c>
      <c r="C189" s="79">
        <f t="shared" si="38"/>
        <v>4681</v>
      </c>
      <c r="D189" s="82">
        <f t="shared" si="39"/>
        <v>346.1942224865779</v>
      </c>
      <c r="E189" s="74">
        <f t="shared" si="40"/>
        <v>4691.688828011396</v>
      </c>
      <c r="F189" s="75">
        <f t="shared" si="41"/>
        <v>251.59443116248167</v>
      </c>
      <c r="G189" s="76">
        <f t="shared" si="42"/>
        <v>4691</v>
      </c>
      <c r="H189" s="77">
        <f t="shared" si="43"/>
        <v>166.19422248657793</v>
      </c>
    </row>
    <row r="190" spans="1:8" ht="12.75">
      <c r="A190" s="74">
        <f t="shared" si="36"/>
        <v>4701.566025984146</v>
      </c>
      <c r="B190" s="75">
        <f t="shared" si="37"/>
        <v>206.7409907093661</v>
      </c>
      <c r="C190" s="76">
        <f t="shared" si="38"/>
        <v>4701</v>
      </c>
      <c r="D190" s="77">
        <f t="shared" si="39"/>
        <v>303.5640154834837</v>
      </c>
      <c r="E190" s="18">
        <f t="shared" si="40"/>
        <v>4711.570410769721</v>
      </c>
      <c r="F190" s="78">
        <f t="shared" si="41"/>
        <v>208.3425336406292</v>
      </c>
      <c r="G190" s="79">
        <f t="shared" si="42"/>
        <v>4711</v>
      </c>
      <c r="H190" s="80">
        <f t="shared" si="43"/>
        <v>123.56401548348367</v>
      </c>
    </row>
    <row r="191" spans="1:8" ht="12.75">
      <c r="A191" s="16">
        <f aca="true" t="shared" si="44" ref="A191:A198">A190+$B$34</f>
        <v>4721.447608742471</v>
      </c>
      <c r="B191" s="78">
        <f t="shared" si="37"/>
        <v>163.48909318751362</v>
      </c>
      <c r="C191" s="79">
        <f t="shared" si="38"/>
        <v>4721</v>
      </c>
      <c r="D191" s="82">
        <f t="shared" si="39"/>
        <v>260.9338084803894</v>
      </c>
      <c r="E191" s="74">
        <f t="shared" si="40"/>
        <v>4731.451993528046</v>
      </c>
      <c r="F191" s="75">
        <f t="shared" si="41"/>
        <v>165.09063611877673</v>
      </c>
      <c r="G191" s="76">
        <f t="shared" si="42"/>
        <v>4731</v>
      </c>
      <c r="H191" s="77">
        <f t="shared" si="43"/>
        <v>80.93380848038942</v>
      </c>
    </row>
    <row r="192" spans="1:8" ht="12.75">
      <c r="A192" s="74">
        <f t="shared" si="44"/>
        <v>4741.329191500796</v>
      </c>
      <c r="B192" s="75">
        <f t="shared" si="37"/>
        <v>120.23719566566115</v>
      </c>
      <c r="C192" s="76">
        <f t="shared" si="38"/>
        <v>4741</v>
      </c>
      <c r="D192" s="77">
        <f t="shared" si="39"/>
        <v>218.30360147729516</v>
      </c>
      <c r="E192" s="18">
        <f t="shared" si="40"/>
        <v>4751.333576286371</v>
      </c>
      <c r="F192" s="78">
        <f t="shared" si="41"/>
        <v>121.83873859692426</v>
      </c>
      <c r="G192" s="79">
        <f t="shared" si="42"/>
        <v>4751</v>
      </c>
      <c r="H192" s="80">
        <f t="shared" si="43"/>
        <v>38.30360147729516</v>
      </c>
    </row>
    <row r="193" spans="1:8" ht="12.75">
      <c r="A193" s="16">
        <f t="shared" si="44"/>
        <v>4761.210774259121</v>
      </c>
      <c r="B193" s="78">
        <f t="shared" si="37"/>
        <v>76.98529814380868</v>
      </c>
      <c r="C193" s="79">
        <f t="shared" si="38"/>
        <v>4761</v>
      </c>
      <c r="D193" s="82">
        <f t="shared" si="39"/>
        <v>175.67339447443374</v>
      </c>
      <c r="E193" s="74">
        <f t="shared" si="40"/>
        <v>4771.215159044696</v>
      </c>
      <c r="F193" s="75">
        <f t="shared" si="41"/>
        <v>78.58684107507179</v>
      </c>
      <c r="G193" s="76">
        <f t="shared" si="42"/>
        <v>4771</v>
      </c>
      <c r="H193" s="77">
        <f t="shared" si="43"/>
        <v>355.67339447443374</v>
      </c>
    </row>
    <row r="194" spans="1:8" ht="12.75">
      <c r="A194" s="74">
        <f t="shared" si="44"/>
        <v>4781.0923570174455</v>
      </c>
      <c r="B194" s="75">
        <f t="shared" si="37"/>
        <v>33.73340062195621</v>
      </c>
      <c r="C194" s="76">
        <f t="shared" si="38"/>
        <v>4781</v>
      </c>
      <c r="D194" s="77">
        <f t="shared" si="39"/>
        <v>133.04318747133948</v>
      </c>
      <c r="E194" s="18">
        <f t="shared" si="40"/>
        <v>4791.09674180302</v>
      </c>
      <c r="F194" s="78">
        <f t="shared" si="41"/>
        <v>35.33494355321932</v>
      </c>
      <c r="G194" s="79">
        <f t="shared" si="42"/>
        <v>4791</v>
      </c>
      <c r="H194" s="80">
        <f t="shared" si="43"/>
        <v>313.0431874713395</v>
      </c>
    </row>
    <row r="195" spans="1:8" ht="12.75">
      <c r="A195" s="16">
        <f t="shared" si="44"/>
        <v>4800.97393977577</v>
      </c>
      <c r="B195" s="78">
        <f t="shared" si="37"/>
        <v>355.73150310010374</v>
      </c>
      <c r="C195" s="79">
        <f t="shared" si="38"/>
        <v>4800</v>
      </c>
      <c r="D195" s="82">
        <f t="shared" si="39"/>
        <v>90.41298046824522</v>
      </c>
      <c r="E195" s="74">
        <f t="shared" si="40"/>
        <v>4810.978324561345</v>
      </c>
      <c r="F195" s="75">
        <f t="shared" si="41"/>
        <v>357.33304603136685</v>
      </c>
      <c r="G195" s="76">
        <f t="shared" si="42"/>
        <v>4810</v>
      </c>
      <c r="H195" s="77">
        <f t="shared" si="43"/>
        <v>270.4129804682452</v>
      </c>
    </row>
    <row r="196" spans="1:8" ht="12.75">
      <c r="A196" s="74">
        <f t="shared" si="44"/>
        <v>4820.855522534095</v>
      </c>
      <c r="B196" s="75">
        <f t="shared" si="37"/>
        <v>312.47960557825127</v>
      </c>
      <c r="C196" s="76">
        <f t="shared" si="38"/>
        <v>4820</v>
      </c>
      <c r="D196" s="77">
        <f t="shared" si="39"/>
        <v>47.78277346515097</v>
      </c>
      <c r="E196" s="18">
        <f t="shared" si="40"/>
        <v>4830.85990731967</v>
      </c>
      <c r="F196" s="78">
        <f t="shared" si="41"/>
        <v>314.0811485095144</v>
      </c>
      <c r="G196" s="79">
        <f t="shared" si="42"/>
        <v>4830</v>
      </c>
      <c r="H196" s="80">
        <f t="shared" si="43"/>
        <v>227.78277346515097</v>
      </c>
    </row>
    <row r="197" spans="1:8" ht="12.75">
      <c r="A197" s="16">
        <f t="shared" si="44"/>
        <v>4840.73710529242</v>
      </c>
      <c r="B197" s="78">
        <f t="shared" si="37"/>
        <v>269.2277080563988</v>
      </c>
      <c r="C197" s="79">
        <f t="shared" si="38"/>
        <v>4840</v>
      </c>
      <c r="D197" s="82">
        <f t="shared" si="39"/>
        <v>5.152566462056711</v>
      </c>
      <c r="E197" s="74">
        <f t="shared" si="40"/>
        <v>4850.741490077995</v>
      </c>
      <c r="F197" s="75">
        <f t="shared" si="41"/>
        <v>270.8292509876619</v>
      </c>
      <c r="G197" s="76">
        <f t="shared" si="42"/>
        <v>4850</v>
      </c>
      <c r="H197" s="77">
        <f t="shared" si="43"/>
        <v>185.1525664620567</v>
      </c>
    </row>
    <row r="198" spans="1:8" ht="12.75">
      <c r="A198" s="74">
        <f t="shared" si="44"/>
        <v>4860.618688050745</v>
      </c>
      <c r="B198" s="75">
        <f t="shared" si="37"/>
        <v>225.97581053454633</v>
      </c>
      <c r="C198" s="76">
        <f t="shared" si="38"/>
        <v>4860</v>
      </c>
      <c r="D198" s="77">
        <f t="shared" si="39"/>
        <v>322.52235945896246</v>
      </c>
      <c r="E198" s="18">
        <f t="shared" si="40"/>
        <v>4870.62307283632</v>
      </c>
      <c r="F198" s="78">
        <f t="shared" si="41"/>
        <v>227.57735346580944</v>
      </c>
      <c r="G198" s="79">
        <f t="shared" si="42"/>
        <v>4870</v>
      </c>
      <c r="H198" s="80">
        <f t="shared" si="43"/>
        <v>142.52235945896246</v>
      </c>
    </row>
    <row r="199" spans="1:8" ht="12.75">
      <c r="A199" s="16">
        <f>A198+$B$34</f>
        <v>4880.50027080907</v>
      </c>
      <c r="B199" s="78">
        <f t="shared" si="37"/>
        <v>182.72391301269386</v>
      </c>
      <c r="C199" s="79">
        <f t="shared" si="38"/>
        <v>4880</v>
      </c>
      <c r="D199" s="82">
        <f t="shared" si="39"/>
        <v>279.8921524558682</v>
      </c>
      <c r="E199" s="74">
        <f t="shared" si="40"/>
        <v>4890.504655594645</v>
      </c>
      <c r="F199" s="75">
        <f t="shared" si="41"/>
        <v>184.32545594395697</v>
      </c>
      <c r="G199" s="76">
        <f t="shared" si="42"/>
        <v>4890</v>
      </c>
      <c r="H199" s="77">
        <f t="shared" si="43"/>
        <v>99.8921524558682</v>
      </c>
    </row>
    <row r="200" spans="1:8" ht="12.75">
      <c r="A200" s="83">
        <f>A199+$B$34</f>
        <v>4900.3818535673945</v>
      </c>
      <c r="B200" s="84">
        <f t="shared" si="37"/>
        <v>139.4720154908414</v>
      </c>
      <c r="C200" s="85">
        <f t="shared" si="38"/>
        <v>4900</v>
      </c>
      <c r="D200" s="86">
        <f t="shared" si="39"/>
        <v>237.26194545300677</v>
      </c>
      <c r="E200" s="13">
        <f t="shared" si="40"/>
        <v>4910.3862383529695</v>
      </c>
      <c r="F200" s="87">
        <f t="shared" si="41"/>
        <v>141.0735584221045</v>
      </c>
      <c r="G200" s="88">
        <f t="shared" si="42"/>
        <v>4910</v>
      </c>
      <c r="H200" s="80">
        <f t="shared" si="43"/>
        <v>57.261945453006774</v>
      </c>
    </row>
    <row r="201" spans="3:8" ht="12.75">
      <c r="C201" s="79"/>
      <c r="H201" s="21"/>
    </row>
  </sheetData>
  <sheetProtection sheet="1"/>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Hop David</dc:creator>
  <cp:keywords/>
  <dc:description/>
  <cp:lastModifiedBy>Robert Walker</cp:lastModifiedBy>
  <dcterms:created xsi:type="dcterms:W3CDTF">2003-10-13T22:51:50Z</dcterms:created>
  <dcterms:modified xsi:type="dcterms:W3CDTF">2018-04-05T17:06:58Z</dcterms:modified>
  <cp:category/>
  <cp:version/>
  <cp:contentType/>
  <cp:contentStatus/>
  <cp:revision>1</cp:revision>
</cp:coreProperties>
</file>